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:\Multiples Analysis\"/>
    </mc:Choice>
  </mc:AlternateContent>
  <xr:revisionPtr revIDLastSave="0" documentId="13_ncr:1_{DF2173FD-251C-4BFF-8A78-5066B52CC982}" xr6:coauthVersionLast="44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ultiples" sheetId="14" r:id="rId1"/>
  </sheets>
  <definedNames>
    <definedName name="_bdm.2e7493e9a6d24901a7dbbefc5cadd74c.edm" hidden="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6" i="14" l="1"/>
  <c r="V56" i="14"/>
  <c r="T56" i="14"/>
  <c r="R56" i="14"/>
  <c r="M56" i="14"/>
  <c r="K56" i="14"/>
  <c r="I56" i="14"/>
  <c r="G56" i="14"/>
  <c r="AD15" i="14" l="1"/>
  <c r="AC15" i="14"/>
  <c r="AD14" i="14"/>
  <c r="AC14" i="14"/>
  <c r="AD13" i="14"/>
  <c r="AC13" i="14"/>
  <c r="AD12" i="14"/>
  <c r="AC12" i="14"/>
  <c r="AD11" i="14"/>
  <c r="AC11" i="14"/>
  <c r="AD10" i="14"/>
  <c r="AC10" i="14"/>
  <c r="X58" i="14"/>
  <c r="X57" i="14"/>
  <c r="V58" i="14"/>
  <c r="V57" i="14"/>
  <c r="T58" i="14"/>
  <c r="T57" i="14"/>
  <c r="M58" i="14"/>
  <c r="M57" i="14"/>
  <c r="K58" i="14"/>
  <c r="K57" i="14"/>
  <c r="I58" i="14"/>
  <c r="I57" i="14"/>
  <c r="B90" i="14"/>
  <c r="C90" i="14"/>
  <c r="B89" i="14" s="1"/>
  <c r="C89" i="14"/>
  <c r="A89" i="14" s="1"/>
  <c r="C88" i="14"/>
  <c r="A88" i="14" s="1"/>
  <c r="E88" i="14" s="1"/>
  <c r="C87" i="14"/>
  <c r="C86" i="14"/>
  <c r="G86" i="14" s="1"/>
  <c r="C85" i="14"/>
  <c r="G85" i="14" s="1"/>
  <c r="C84" i="14"/>
  <c r="C83" i="14"/>
  <c r="A83" i="14" s="1"/>
  <c r="F83" i="14" s="1"/>
  <c r="B87" i="14" l="1"/>
  <c r="J87" i="14" s="1"/>
  <c r="G83" i="14"/>
  <c r="B88" i="14"/>
  <c r="I88" i="14" s="1"/>
  <c r="B83" i="14"/>
  <c r="E83" i="14"/>
  <c r="J90" i="14"/>
  <c r="B86" i="14"/>
  <c r="H86" i="14" s="1"/>
  <c r="F89" i="14"/>
  <c r="H90" i="14"/>
  <c r="I90" i="14"/>
  <c r="A87" i="14"/>
  <c r="F87" i="14" s="1"/>
  <c r="A90" i="14"/>
  <c r="E90" i="14" s="1"/>
  <c r="A86" i="14"/>
  <c r="E86" i="14" s="1"/>
  <c r="E89" i="14"/>
  <c r="F88" i="14"/>
  <c r="H89" i="14"/>
  <c r="J89" i="14"/>
  <c r="B84" i="14"/>
  <c r="H84" i="14" s="1"/>
  <c r="B85" i="14"/>
  <c r="H85" i="14" s="1"/>
  <c r="A84" i="14"/>
  <c r="F84" i="14" s="1"/>
  <c r="H88" i="14"/>
  <c r="I89" i="14"/>
  <c r="G87" i="14"/>
  <c r="A85" i="14"/>
  <c r="F85" i="14" s="1"/>
  <c r="G88" i="14"/>
  <c r="G89" i="14"/>
  <c r="G84" i="14"/>
  <c r="G90" i="14"/>
  <c r="AA14" i="14"/>
  <c r="AG14" i="14" s="1"/>
  <c r="AA15" i="14"/>
  <c r="AG15" i="14" s="1"/>
  <c r="AA13" i="14"/>
  <c r="AG13" i="14" s="1"/>
  <c r="AA11" i="14"/>
  <c r="AA12" i="14"/>
  <c r="AF12" i="14" s="1"/>
  <c r="AA10" i="14"/>
  <c r="L79" i="14"/>
  <c r="K79" i="14" s="1"/>
  <c r="L78" i="14"/>
  <c r="K78" i="14" s="1"/>
  <c r="L77" i="14"/>
  <c r="K77" i="14" s="1"/>
  <c r="L76" i="14"/>
  <c r="K76" i="14" s="1"/>
  <c r="L75" i="14"/>
  <c r="K75" i="14" s="1"/>
  <c r="L74" i="14"/>
  <c r="K74" i="14" s="1"/>
  <c r="L73" i="14"/>
  <c r="K73" i="14" s="1"/>
  <c r="L72" i="14"/>
  <c r="K72" i="14" s="1"/>
  <c r="L68" i="14"/>
  <c r="K68" i="14" s="1"/>
  <c r="L67" i="14"/>
  <c r="K67" i="14" s="1"/>
  <c r="L66" i="14"/>
  <c r="K66" i="14" s="1"/>
  <c r="L65" i="14"/>
  <c r="K65" i="14" s="1"/>
  <c r="L64" i="14"/>
  <c r="K64" i="14" s="1"/>
  <c r="L63" i="14"/>
  <c r="K63" i="14" s="1"/>
  <c r="L62" i="14"/>
  <c r="K62" i="14" s="1"/>
  <c r="L61" i="14"/>
  <c r="K61" i="14" s="1"/>
  <c r="R58" i="14"/>
  <c r="R57" i="14"/>
  <c r="G58" i="14"/>
  <c r="G57" i="14"/>
  <c r="N26" i="14"/>
  <c r="C26" i="14"/>
  <c r="B79" i="14"/>
  <c r="B78" i="14"/>
  <c r="A78" i="14" s="1"/>
  <c r="F78" i="14" s="1"/>
  <c r="B77" i="14"/>
  <c r="A77" i="14" s="1"/>
  <c r="G77" i="14" s="1"/>
  <c r="B76" i="14"/>
  <c r="B75" i="14"/>
  <c r="B74" i="14"/>
  <c r="A74" i="14" s="1"/>
  <c r="F74" i="14" s="1"/>
  <c r="B73" i="14"/>
  <c r="A73" i="14" s="1"/>
  <c r="E73" i="14" s="1"/>
  <c r="B72" i="14"/>
  <c r="A72" i="14" s="1"/>
  <c r="H72" i="14" s="1"/>
  <c r="J85" i="14" l="1"/>
  <c r="I85" i="14"/>
  <c r="E84" i="14"/>
  <c r="F86" i="14"/>
  <c r="I86" i="14"/>
  <c r="AG10" i="14"/>
  <c r="AG16" i="14" s="1"/>
  <c r="I84" i="14"/>
  <c r="E87" i="14"/>
  <c r="J86" i="14"/>
  <c r="J88" i="14"/>
  <c r="H87" i="14"/>
  <c r="I87" i="14"/>
  <c r="L58" i="14"/>
  <c r="W58" i="14"/>
  <c r="Q73" i="14"/>
  <c r="AG12" i="14"/>
  <c r="AG18" i="14" s="1"/>
  <c r="F90" i="14"/>
  <c r="E85" i="14"/>
  <c r="AF15" i="14"/>
  <c r="AF18" i="14" s="1"/>
  <c r="J84" i="14"/>
  <c r="AF10" i="14"/>
  <c r="I83" i="14"/>
  <c r="J83" i="14"/>
  <c r="H83" i="14"/>
  <c r="AF11" i="14"/>
  <c r="AG11" i="14"/>
  <c r="AG17" i="14" s="1"/>
  <c r="AF13" i="14"/>
  <c r="AF14" i="14"/>
  <c r="O74" i="14"/>
  <c r="O78" i="14"/>
  <c r="P75" i="14"/>
  <c r="O79" i="14"/>
  <c r="I78" i="14"/>
  <c r="R78" i="14"/>
  <c r="S73" i="14"/>
  <c r="R72" i="14"/>
  <c r="H78" i="14"/>
  <c r="D74" i="14"/>
  <c r="P73" i="14"/>
  <c r="N76" i="14"/>
  <c r="Q76" i="14"/>
  <c r="S76" i="14"/>
  <c r="Q77" i="14"/>
  <c r="S77" i="14"/>
  <c r="O77" i="14"/>
  <c r="P77" i="14"/>
  <c r="O76" i="14"/>
  <c r="S72" i="14"/>
  <c r="G74" i="14"/>
  <c r="Q72" i="14"/>
  <c r="G78" i="14"/>
  <c r="E74" i="14"/>
  <c r="D78" i="14"/>
  <c r="E78" i="14"/>
  <c r="G72" i="14"/>
  <c r="P76" i="14"/>
  <c r="O72" i="14"/>
  <c r="H74" i="14"/>
  <c r="P72" i="14"/>
  <c r="A76" i="14"/>
  <c r="D76" i="14" s="1"/>
  <c r="S78" i="14"/>
  <c r="O73" i="14"/>
  <c r="A79" i="14"/>
  <c r="E79" i="14" s="1"/>
  <c r="J58" i="14" s="1"/>
  <c r="A75" i="14"/>
  <c r="H75" i="14" s="1"/>
  <c r="I74" i="14"/>
  <c r="N75" i="14"/>
  <c r="N74" i="14"/>
  <c r="N73" i="14"/>
  <c r="Q78" i="14"/>
  <c r="R73" i="14"/>
  <c r="N72" i="14"/>
  <c r="S79" i="14"/>
  <c r="P78" i="14"/>
  <c r="R76" i="14"/>
  <c r="O75" i="14"/>
  <c r="R79" i="14"/>
  <c r="S74" i="14"/>
  <c r="N79" i="14"/>
  <c r="Q79" i="14"/>
  <c r="R74" i="14"/>
  <c r="N78" i="14"/>
  <c r="N77" i="14"/>
  <c r="P79" i="14"/>
  <c r="R77" i="14"/>
  <c r="Q74" i="14"/>
  <c r="S75" i="14"/>
  <c r="P74" i="14"/>
  <c r="R75" i="14"/>
  <c r="Q75" i="14"/>
  <c r="F77" i="14"/>
  <c r="E77" i="14"/>
  <c r="I73" i="14"/>
  <c r="F72" i="14"/>
  <c r="D73" i="14"/>
  <c r="H73" i="14"/>
  <c r="E72" i="14"/>
  <c r="D72" i="14"/>
  <c r="G73" i="14"/>
  <c r="F73" i="14"/>
  <c r="I77" i="14"/>
  <c r="D77" i="14"/>
  <c r="H77" i="14"/>
  <c r="I72" i="14"/>
  <c r="N21" i="14"/>
  <c r="B62" i="14"/>
  <c r="N62" i="14" s="1"/>
  <c r="B63" i="14"/>
  <c r="N63" i="14" s="1"/>
  <c r="B64" i="14"/>
  <c r="A64" i="14" s="1"/>
  <c r="B65" i="14"/>
  <c r="N65" i="14" s="1"/>
  <c r="B66" i="14"/>
  <c r="N66" i="14" s="1"/>
  <c r="B67" i="14"/>
  <c r="P67" i="14" s="1"/>
  <c r="B68" i="14"/>
  <c r="R68" i="14" s="1"/>
  <c r="B61" i="14"/>
  <c r="R61" i="14" s="1"/>
  <c r="C21" i="14"/>
  <c r="C13" i="14"/>
  <c r="AF16" i="14" l="1"/>
  <c r="AF17" i="14"/>
  <c r="E75" i="14"/>
  <c r="Q62" i="14"/>
  <c r="R63" i="14"/>
  <c r="G76" i="14"/>
  <c r="F76" i="14"/>
  <c r="F75" i="14"/>
  <c r="Q68" i="14"/>
  <c r="D75" i="14"/>
  <c r="S68" i="14"/>
  <c r="R64" i="14"/>
  <c r="I76" i="14"/>
  <c r="N64" i="14"/>
  <c r="P64" i="14"/>
  <c r="Q63" i="14"/>
  <c r="H76" i="14"/>
  <c r="P68" i="14"/>
  <c r="E76" i="14"/>
  <c r="H79" i="14"/>
  <c r="F79" i="14"/>
  <c r="I79" i="14"/>
  <c r="R67" i="14"/>
  <c r="P63" i="14"/>
  <c r="R65" i="14"/>
  <c r="S64" i="14"/>
  <c r="P61" i="14"/>
  <c r="Q61" i="14"/>
  <c r="S61" i="14"/>
  <c r="A61" i="14"/>
  <c r="O61" i="14"/>
  <c r="O68" i="14"/>
  <c r="G79" i="14"/>
  <c r="P66" i="14"/>
  <c r="S66" i="14"/>
  <c r="A66" i="14"/>
  <c r="O66" i="14"/>
  <c r="N67" i="14"/>
  <c r="Q66" i="14"/>
  <c r="Q64" i="14"/>
  <c r="A63" i="14"/>
  <c r="O63" i="14"/>
  <c r="S63" i="14"/>
  <c r="R66" i="14"/>
  <c r="P62" i="14"/>
  <c r="O62" i="14"/>
  <c r="S62" i="14"/>
  <c r="A62" i="14"/>
  <c r="G62" i="14" s="1"/>
  <c r="R62" i="14"/>
  <c r="O64" i="14"/>
  <c r="N68" i="14"/>
  <c r="A68" i="14"/>
  <c r="D68" i="14" s="1"/>
  <c r="I75" i="14"/>
  <c r="G75" i="14"/>
  <c r="N61" i="14"/>
  <c r="O67" i="14"/>
  <c r="A67" i="14"/>
  <c r="S67" i="14"/>
  <c r="D79" i="14"/>
  <c r="Q67" i="14"/>
  <c r="P65" i="14"/>
  <c r="O65" i="14"/>
  <c r="A65" i="14"/>
  <c r="D65" i="14" s="1"/>
  <c r="Q65" i="14"/>
  <c r="S65" i="14"/>
  <c r="U58" i="14"/>
  <c r="D64" i="14"/>
  <c r="C18" i="14"/>
  <c r="C31" i="14" s="1"/>
  <c r="N18" i="14"/>
  <c r="N27" i="14" s="1"/>
  <c r="N13" i="14"/>
  <c r="N12" i="14"/>
  <c r="C12" i="14"/>
  <c r="I65" i="14" l="1"/>
  <c r="F62" i="14"/>
  <c r="G67" i="14"/>
  <c r="S58" i="14"/>
  <c r="I62" i="14"/>
  <c r="H67" i="14"/>
  <c r="E62" i="14"/>
  <c r="H62" i="14"/>
  <c r="D62" i="14"/>
  <c r="D61" i="14"/>
  <c r="E61" i="14"/>
  <c r="H58" i="14" s="1"/>
  <c r="F64" i="14"/>
  <c r="E67" i="14"/>
  <c r="F67" i="14"/>
  <c r="D67" i="14"/>
  <c r="H61" i="14"/>
  <c r="I61" i="14"/>
  <c r="I64" i="14"/>
  <c r="E65" i="14"/>
  <c r="I67" i="14"/>
  <c r="G61" i="14"/>
  <c r="E66" i="14"/>
  <c r="G65" i="14"/>
  <c r="I66" i="14"/>
  <c r="H66" i="14"/>
  <c r="G66" i="14"/>
  <c r="F61" i="14"/>
  <c r="H63" i="14"/>
  <c r="I63" i="14"/>
  <c r="E63" i="14"/>
  <c r="C27" i="14"/>
  <c r="C19" i="14"/>
  <c r="C32" i="14" s="1"/>
  <c r="C22" i="14"/>
  <c r="D63" i="14"/>
  <c r="F66" i="14"/>
  <c r="G64" i="14"/>
  <c r="H64" i="14"/>
  <c r="E64" i="14"/>
  <c r="N19" i="14"/>
  <c r="N28" i="14" s="1"/>
  <c r="N22" i="14"/>
  <c r="F63" i="14"/>
  <c r="I68" i="14"/>
  <c r="H65" i="14"/>
  <c r="H68" i="14"/>
  <c r="D66" i="14"/>
  <c r="G63" i="14"/>
  <c r="F65" i="14"/>
  <c r="E68" i="14"/>
  <c r="F68" i="14"/>
  <c r="G68" i="14"/>
  <c r="N31" i="14"/>
  <c r="C28" i="14" l="1"/>
  <c r="C29" i="14" s="1"/>
  <c r="C36" i="14" s="1"/>
  <c r="C23" i="14"/>
  <c r="N32" i="14"/>
  <c r="N33" i="14" s="1"/>
  <c r="N37" i="14" s="1"/>
  <c r="N23" i="14"/>
  <c r="C33" i="14"/>
  <c r="C37" i="14" s="1"/>
  <c r="N29" i="14"/>
  <c r="N36" i="14" s="1"/>
  <c r="N24" i="14" l="1"/>
  <c r="N35" i="14" s="1"/>
  <c r="C24" i="14"/>
  <c r="C35" i="14" s="1"/>
</calcChain>
</file>

<file path=xl/sharedStrings.xml><?xml version="1.0" encoding="utf-8"?>
<sst xmlns="http://schemas.openxmlformats.org/spreadsheetml/2006/main" count="143" uniqueCount="96">
  <si>
    <t>R/P</t>
  </si>
  <si>
    <t>Multiple</t>
  </si>
  <si>
    <t>Low</t>
  </si>
  <si>
    <t>Metric</t>
  </si>
  <si>
    <t>High</t>
  </si>
  <si>
    <t>Value ($MM)</t>
  </si>
  <si>
    <t>Gas Production</t>
  </si>
  <si>
    <t>Slope</t>
  </si>
  <si>
    <t>Oil Production</t>
  </si>
  <si>
    <t>Gas Reserves</t>
  </si>
  <si>
    <t>Gas Cash Flow</t>
  </si>
  <si>
    <t>Reserves to Production Ratio (years)</t>
  </si>
  <si>
    <t>ln (R/P)</t>
  </si>
  <si>
    <r>
      <t>factor for margin, F</t>
    </r>
    <r>
      <rPr>
        <vertAlign val="subscript"/>
        <sz val="11"/>
        <color theme="1"/>
        <rFont val="Calibri"/>
        <family val="2"/>
      </rPr>
      <t>M</t>
    </r>
  </si>
  <si>
    <r>
      <t>factor for R/P ratio, F</t>
    </r>
    <r>
      <rPr>
        <vertAlign val="subscript"/>
        <sz val="11"/>
        <color theme="1"/>
        <rFont val="Calibri"/>
        <family val="2"/>
      </rPr>
      <t>R</t>
    </r>
  </si>
  <si>
    <t>Discount Rate (%)</t>
  </si>
  <si>
    <r>
      <t>factor for discount rate, F</t>
    </r>
    <r>
      <rPr>
        <vertAlign val="subscript"/>
        <sz val="11"/>
        <color theme="1"/>
        <rFont val="Calibri"/>
        <family val="2"/>
      </rPr>
      <t>D</t>
    </r>
  </si>
  <si>
    <t>slope on log plot</t>
  </si>
  <si>
    <t>Oil Production Multiple</t>
  </si>
  <si>
    <r>
      <t>oil production multiple, M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($/bbl/day)</t>
    </r>
  </si>
  <si>
    <r>
      <t>gas production multiple, M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($/Mcf/day)</t>
    </r>
  </si>
  <si>
    <t>Gas Production Multiple</t>
  </si>
  <si>
    <r>
      <t>oil reserves multiple, M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($/bbl)</t>
    </r>
  </si>
  <si>
    <r>
      <t>cash flow multiple, M</t>
    </r>
    <r>
      <rPr>
        <vertAlign val="subscript"/>
        <sz val="11"/>
        <color theme="1"/>
        <rFont val="Calibri"/>
        <family val="2"/>
      </rPr>
      <t>CF</t>
    </r>
    <r>
      <rPr>
        <sz val="11"/>
        <color theme="1"/>
        <rFont val="Calibri"/>
        <family val="2"/>
      </rPr>
      <t xml:space="preserve"> ($/$)</t>
    </r>
  </si>
  <si>
    <t>Production Rate (bbl/day)</t>
  </si>
  <si>
    <t>Oil Reserves (Mbbl)</t>
  </si>
  <si>
    <t>Calculated R/P (years)</t>
  </si>
  <si>
    <t>Calculated Margin ($/bbl)</t>
  </si>
  <si>
    <t>Production Rate (Mcf/day)</t>
  </si>
  <si>
    <t>Gas Reserves (MMcf)</t>
  </si>
  <si>
    <t>Calculated Margin ($/Mcf)</t>
  </si>
  <si>
    <t>Oil Cash Flow (M$/year)</t>
  </si>
  <si>
    <t>Gas Cash Flow (M$/year)</t>
  </si>
  <si>
    <t>Margin ($/bbl)</t>
  </si>
  <si>
    <t>Margin ($/Mcf)</t>
  </si>
  <si>
    <t>Oil Transaction Multiple Assumptions</t>
  </si>
  <si>
    <t>Gas Transaction Multiple Assumptions</t>
  </si>
  <si>
    <t>Oil Production Multiple Calculation</t>
  </si>
  <si>
    <t>Gas Production Multiple Calculation</t>
  </si>
  <si>
    <t>Oil Reserve Multiple Calculation</t>
  </si>
  <si>
    <t>Gas Reserve Multiple Calculation</t>
  </si>
  <si>
    <r>
      <t>gas reserves multiple, M</t>
    </r>
    <r>
      <rPr>
        <vertAlign val="subscript"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($/Mcf)</t>
    </r>
  </si>
  <si>
    <t>Oil Cash Flow Multiple Calculation</t>
  </si>
  <si>
    <t>Gas Cash Flow Multiple Calculation</t>
  </si>
  <si>
    <t>Oil Value Calculation</t>
  </si>
  <si>
    <t>Gas Value Calculation</t>
  </si>
  <si>
    <t>Use this tool at your own risk.</t>
  </si>
  <si>
    <t>Input in Green</t>
  </si>
  <si>
    <t>Output in Red</t>
  </si>
  <si>
    <t>Transaction Multiple Worksheet</t>
  </si>
  <si>
    <t>Based on Oil Production Multiple (M$)</t>
  </si>
  <si>
    <t>Based on Oil Reserve Multiple (M$)</t>
  </si>
  <si>
    <t>Based on Oil Cash Flow (M$)</t>
  </si>
  <si>
    <t>Based on Gas Production Multiple (M$)</t>
  </si>
  <si>
    <t>Based on Gas Reserve Multiple (M$)</t>
  </si>
  <si>
    <t>Based on Gas Cash Flow (M$)</t>
  </si>
  <si>
    <t>Oil Inputs</t>
  </si>
  <si>
    <t>Gas Imputs</t>
  </si>
  <si>
    <t>R/P \ Margin</t>
  </si>
  <si>
    <t>Oil Reserves Multiples</t>
  </si>
  <si>
    <t>Gas Reserves Multiple</t>
  </si>
  <si>
    <t>Value</t>
  </si>
  <si>
    <t>Production</t>
  </si>
  <si>
    <t>Reserves</t>
  </si>
  <si>
    <t xml:space="preserve">             Multiple Range</t>
  </si>
  <si>
    <t>Oil Reserves</t>
  </si>
  <si>
    <t>Valuation Summary</t>
  </si>
  <si>
    <t>$/(Mcf/day)</t>
  </si>
  <si>
    <t>$/bbl</t>
  </si>
  <si>
    <t>$/Mcf</t>
  </si>
  <si>
    <t>M$/(bbl/day)</t>
  </si>
  <si>
    <t>$/$</t>
  </si>
  <si>
    <t>Unit</t>
  </si>
  <si>
    <t>bbl/day</t>
  </si>
  <si>
    <t>Mbbl</t>
  </si>
  <si>
    <t>M$</t>
  </si>
  <si>
    <t>Mcf/day</t>
  </si>
  <si>
    <t>MMcf</t>
  </si>
  <si>
    <t>Oil Cash Flow</t>
  </si>
  <si>
    <t>Name</t>
  </si>
  <si>
    <t>Cash Flow Multiple</t>
  </si>
  <si>
    <t>D&lt;10</t>
  </si>
  <si>
    <t>D&gt;10</t>
  </si>
  <si>
    <t>Cash Flow</t>
  </si>
  <si>
    <t>Multiple Ranges</t>
  </si>
  <si>
    <t>Graphing Inputs</t>
  </si>
  <si>
    <t>Production Multiple-Low ($/Mbbl/d)</t>
  </si>
  <si>
    <t>Production Multiple-High ($/Mbbl/d)</t>
  </si>
  <si>
    <t>Reserve  Multiple-Low ($/bbl)</t>
  </si>
  <si>
    <t>Reserve  Multiple-High ($/bbl)</t>
  </si>
  <si>
    <t>Cash Flow Multiple-Low ($/$)</t>
  </si>
  <si>
    <t>Cash Flow Multiple-High ($/$)</t>
  </si>
  <si>
    <t>Total Production</t>
  </si>
  <si>
    <t>Total Reserves</t>
  </si>
  <si>
    <t>Total Cash Flow</t>
  </si>
  <si>
    <t xml:space="preserve">No warranty is given or liability assumed.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</si>
</sst>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u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</font>
    <font>
      <sz val="11"/>
      <color theme="0" tint="-4.9989318521683403E-2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/>
    <xf numFmtId="2" fontId="0" fillId="2" borderId="0" xfId="0" applyNumberFormat="1" applyFill="1"/>
    <xf numFmtId="0" fontId="2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6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4" fontId="0" fillId="0" borderId="8" xfId="0" applyNumberFormat="1" applyFill="1" applyBorder="1"/>
    <xf numFmtId="0" fontId="6" fillId="4" borderId="8" xfId="0" applyFont="1" applyFill="1" applyBorder="1"/>
    <xf numFmtId="0" fontId="6" fillId="4" borderId="0" xfId="0" applyFont="1" applyFill="1" applyBorder="1"/>
    <xf numFmtId="0" fontId="6" fillId="4" borderId="9" xfId="0" applyFont="1" applyFill="1" applyBorder="1"/>
    <xf numFmtId="2" fontId="0" fillId="0" borderId="8" xfId="0" applyNumberFormat="1" applyBorder="1"/>
    <xf numFmtId="3" fontId="0" fillId="0" borderId="8" xfId="0" applyNumberFormat="1" applyBorder="1"/>
    <xf numFmtId="4" fontId="0" fillId="0" borderId="8" xfId="0" applyNumberFormat="1" applyBorder="1"/>
    <xf numFmtId="3" fontId="0" fillId="3" borderId="8" xfId="0" applyNumberFormat="1" applyFill="1" applyBorder="1"/>
    <xf numFmtId="3" fontId="0" fillId="3" borderId="10" xfId="0" applyNumberFormat="1" applyFill="1" applyBorder="1"/>
    <xf numFmtId="164" fontId="0" fillId="0" borderId="8" xfId="0" applyNumberFormat="1" applyBorder="1"/>
    <xf numFmtId="0" fontId="5" fillId="2" borderId="0" xfId="0" applyFont="1" applyFill="1"/>
    <xf numFmtId="4" fontId="0" fillId="0" borderId="13" xfId="0" applyNumberFormat="1" applyFill="1" applyBorder="1"/>
    <xf numFmtId="2" fontId="0" fillId="0" borderId="13" xfId="0" applyNumberFormat="1" applyBorder="1"/>
    <xf numFmtId="3" fontId="0" fillId="3" borderId="13" xfId="0" applyNumberFormat="1" applyFill="1" applyBorder="1"/>
    <xf numFmtId="4" fontId="0" fillId="3" borderId="13" xfId="0" applyNumberFormat="1" applyFill="1" applyBorder="1"/>
    <xf numFmtId="2" fontId="0" fillId="3" borderId="13" xfId="0" applyNumberFormat="1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14" xfId="0" applyFill="1" applyBorder="1"/>
    <xf numFmtId="0" fontId="0" fillId="5" borderId="11" xfId="0" applyFill="1" applyBorder="1"/>
    <xf numFmtId="0" fontId="0" fillId="5" borderId="12" xfId="0" applyFill="1" applyBorder="1"/>
    <xf numFmtId="3" fontId="0" fillId="5" borderId="0" xfId="0" applyNumberFormat="1" applyFill="1"/>
    <xf numFmtId="4" fontId="0" fillId="5" borderId="0" xfId="0" applyNumberFormat="1" applyFill="1"/>
    <xf numFmtId="0" fontId="0" fillId="2" borderId="0" xfId="0" applyFill="1"/>
    <xf numFmtId="2" fontId="0" fillId="5" borderId="0" xfId="0" applyNumberFormat="1" applyFill="1"/>
    <xf numFmtId="0" fontId="6" fillId="4" borderId="0" xfId="0" applyFont="1" applyFill="1"/>
    <xf numFmtId="0" fontId="6" fillId="4" borderId="15" xfId="0" applyFont="1" applyFill="1" applyBorder="1"/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4" borderId="16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6" fillId="4" borderId="6" xfId="0" applyFont="1" applyFill="1" applyBorder="1"/>
    <xf numFmtId="0" fontId="6" fillId="4" borderId="7" xfId="0" applyFont="1" applyFill="1" applyBorder="1"/>
    <xf numFmtId="0" fontId="0" fillId="0" borderId="8" xfId="0" applyBorder="1"/>
    <xf numFmtId="3" fontId="0" fillId="0" borderId="0" xfId="0" applyNumberFormat="1" applyBorder="1"/>
    <xf numFmtId="3" fontId="0" fillId="5" borderId="0" xfId="0" applyNumberFormat="1" applyFill="1" applyBorder="1"/>
    <xf numFmtId="0" fontId="0" fillId="5" borderId="3" xfId="0" applyFill="1" applyBorder="1"/>
    <xf numFmtId="3" fontId="0" fillId="5" borderId="3" xfId="0" applyNumberForma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Fill="1" applyBorder="1"/>
    <xf numFmtId="0" fontId="0" fillId="0" borderId="13" xfId="0" applyBorder="1"/>
    <xf numFmtId="3" fontId="0" fillId="5" borderId="1" xfId="0" applyNumberFormat="1" applyFill="1" applyBorder="1"/>
    <xf numFmtId="3" fontId="0" fillId="0" borderId="1" xfId="0" applyNumberFormat="1" applyBorder="1"/>
    <xf numFmtId="0" fontId="0" fillId="5" borderId="24" xfId="0" applyFill="1" applyBorder="1"/>
    <xf numFmtId="0" fontId="0" fillId="0" borderId="25" xfId="0" applyFill="1" applyBorder="1"/>
    <xf numFmtId="0" fontId="0" fillId="0" borderId="26" xfId="0" applyBorder="1"/>
    <xf numFmtId="0" fontId="0" fillId="0" borderId="0" xfId="0" applyBorder="1"/>
    <xf numFmtId="0" fontId="0" fillId="0" borderId="10" xfId="0" applyFill="1" applyBorder="1"/>
    <xf numFmtId="0" fontId="0" fillId="0" borderId="11" xfId="0" applyBorder="1"/>
    <xf numFmtId="3" fontId="0" fillId="3" borderId="3" xfId="0" applyNumberFormat="1" applyFill="1" applyBorder="1"/>
    <xf numFmtId="3" fontId="0" fillId="3" borderId="9" xfId="0" applyNumberFormat="1" applyFill="1" applyBorder="1"/>
    <xf numFmtId="3" fontId="0" fillId="3" borderId="24" xfId="0" applyNumberForma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2" xfId="0" applyNumberFormat="1" applyFill="1" applyBorder="1"/>
    <xf numFmtId="3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CC0000"/>
      <color rgb="FFFFCCCC"/>
      <color rgb="FFFFFF99"/>
      <color rgb="FFCCFF99"/>
      <color rgb="FFFFFF66"/>
      <color rgb="FFFF9999"/>
      <color rgb="FF535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Production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Multiples!$I$60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Multiples!$I$61:$I$68</c:f>
              <c:numCache>
                <c:formatCode>0.00</c:formatCode>
                <c:ptCount val="8"/>
                <c:pt idx="0">
                  <c:v>31.600433643081885</c:v>
                </c:pt>
                <c:pt idx="1">
                  <c:v>29.033446495494363</c:v>
                </c:pt>
                <c:pt idx="2">
                  <c:v>24.906832982268661</c:v>
                </c:pt>
                <c:pt idx="3">
                  <c:v>18.174379192543903</c:v>
                </c:pt>
                <c:pt idx="4">
                  <c:v>14.156774902498368</c:v>
                </c:pt>
                <c:pt idx="5">
                  <c:v>11.455311941932107</c:v>
                </c:pt>
                <c:pt idx="6">
                  <c:v>8.046237569103571</c:v>
                </c:pt>
                <c:pt idx="7">
                  <c:v>4.6049697766484803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26-4CD5-AE44-EAD8B8A3D042}"/>
            </c:ext>
          </c:extLst>
        </c:ser>
        <c:ser>
          <c:idx val="0"/>
          <c:order val="1"/>
          <c:tx>
            <c:strRef>
              <c:f>Multiples!$H$60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Multiples!$H$61:$H$68</c:f>
              <c:numCache>
                <c:formatCode>0.00</c:formatCode>
                <c:ptCount val="8"/>
                <c:pt idx="0">
                  <c:v>63.200867286163771</c:v>
                </c:pt>
                <c:pt idx="1">
                  <c:v>58.066892990988727</c:v>
                </c:pt>
                <c:pt idx="2">
                  <c:v>49.813665964537321</c:v>
                </c:pt>
                <c:pt idx="3">
                  <c:v>36.348758385087805</c:v>
                </c:pt>
                <c:pt idx="4">
                  <c:v>28.313549804996736</c:v>
                </c:pt>
                <c:pt idx="5">
                  <c:v>22.910623883864215</c:v>
                </c:pt>
                <c:pt idx="6">
                  <c:v>16.092475138207142</c:v>
                </c:pt>
                <c:pt idx="7">
                  <c:v>9.2099395532969606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26-4CD5-AE44-EAD8B8A3D042}"/>
            </c:ext>
          </c:extLst>
        </c:ser>
        <c:ser>
          <c:idx val="4"/>
          <c:order val="2"/>
          <c:tx>
            <c:strRef>
              <c:f>Multiples!$G$60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Multiples!$G$61:$G$68</c:f>
              <c:numCache>
                <c:formatCode>0.00</c:formatCode>
                <c:ptCount val="8"/>
                <c:pt idx="0">
                  <c:v>94.801300929245642</c:v>
                </c:pt>
                <c:pt idx="1">
                  <c:v>87.100339486483108</c:v>
                </c:pt>
                <c:pt idx="2">
                  <c:v>74.720498946805975</c:v>
                </c:pt>
                <c:pt idx="3">
                  <c:v>54.523137577631708</c:v>
                </c:pt>
                <c:pt idx="4">
                  <c:v>42.470324707495102</c:v>
                </c:pt>
                <c:pt idx="5">
                  <c:v>34.365935825796328</c:v>
                </c:pt>
                <c:pt idx="6">
                  <c:v>24.13871270731071</c:v>
                </c:pt>
                <c:pt idx="7">
                  <c:v>13.814909329945444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26-4CD5-AE44-EAD8B8A3D042}"/>
            </c:ext>
          </c:extLst>
        </c:ser>
        <c:ser>
          <c:idx val="3"/>
          <c:order val="3"/>
          <c:tx>
            <c:strRef>
              <c:f>Multiples!$F$60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Multiples!$F$61:$F$68</c:f>
              <c:numCache>
                <c:formatCode>0.00</c:formatCode>
                <c:ptCount val="8"/>
                <c:pt idx="0">
                  <c:v>126.40173457232754</c:v>
                </c:pt>
                <c:pt idx="1">
                  <c:v>116.13378598197745</c:v>
                </c:pt>
                <c:pt idx="2">
                  <c:v>99.627331929074643</c:v>
                </c:pt>
                <c:pt idx="3">
                  <c:v>72.697516770175611</c:v>
                </c:pt>
                <c:pt idx="4">
                  <c:v>56.627099609993472</c:v>
                </c:pt>
                <c:pt idx="5">
                  <c:v>45.82124776772843</c:v>
                </c:pt>
                <c:pt idx="6">
                  <c:v>32.184950276414284</c:v>
                </c:pt>
                <c:pt idx="7">
                  <c:v>18.419879106593921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26-4CD5-AE44-EAD8B8A3D042}"/>
            </c:ext>
          </c:extLst>
        </c:ser>
        <c:ser>
          <c:idx val="2"/>
          <c:order val="4"/>
          <c:tx>
            <c:strRef>
              <c:f>Multiples!$E$60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Multiples!$E$61:$E$68</c:f>
              <c:numCache>
                <c:formatCode>0.00</c:formatCode>
                <c:ptCount val="8"/>
                <c:pt idx="0">
                  <c:v>158.00216821540943</c:v>
                </c:pt>
                <c:pt idx="1">
                  <c:v>145.16723247747186</c:v>
                </c:pt>
                <c:pt idx="2">
                  <c:v>124.53416491134331</c:v>
                </c:pt>
                <c:pt idx="3">
                  <c:v>90.87189596271952</c:v>
                </c:pt>
                <c:pt idx="4">
                  <c:v>70.783874512491835</c:v>
                </c:pt>
                <c:pt idx="5">
                  <c:v>57.276559709660539</c:v>
                </c:pt>
                <c:pt idx="6">
                  <c:v>40.231187845517852</c:v>
                </c:pt>
                <c:pt idx="7">
                  <c:v>23.024848883242406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826-4CD5-AE44-EAD8B8A3D042}"/>
            </c:ext>
          </c:extLst>
        </c:ser>
        <c:ser>
          <c:idx val="1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Multiples!$I$57:$I$58</c:f>
              <c:numCache>
                <c:formatCode>General</c:formatCode>
                <c:ptCount val="2"/>
                <c:pt idx="0">
                  <c:v>30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26-4CD5-AE44-EAD8B8A3D042}"/>
            </c:ext>
          </c:extLst>
        </c:ser>
        <c:ser>
          <c:idx val="5"/>
          <c:order val="6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Multiples!$H$57:$H$58</c:f>
              <c:numCache>
                <c:formatCode>General</c:formatCode>
                <c:ptCount val="2"/>
                <c:pt idx="0">
                  <c:v>0</c:v>
                </c:pt>
                <c:pt idx="1">
                  <c:v>158.00216821540943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26-4CD5-AE44-EAD8B8A3D042}"/>
            </c:ext>
          </c:extLst>
        </c:ser>
        <c:ser>
          <c:idx val="7"/>
          <c:order val="7"/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Multiples!$G$56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Multiples!$I$56</c:f>
              <c:numCache>
                <c:formatCode>#,##0</c:formatCode>
                <c:ptCount val="1"/>
                <c:pt idx="0">
                  <c:v>40.627618739855777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A-4BD7-826F-E3BCB93FF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Oil</a:t>
                </a:r>
                <a:r>
                  <a:rPr lang="en-US" baseline="0"/>
                  <a:t> Production Multiple (M$/bbl/day)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Reserves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Multiples!$I$71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Multiples!$I$72:$I$79</c:f>
              <c:numCache>
                <c:formatCode>0.00</c:formatCode>
                <c:ptCount val="8"/>
                <c:pt idx="0">
                  <c:v>2.375483366742539</c:v>
                </c:pt>
                <c:pt idx="1">
                  <c:v>3.0226339031242277</c:v>
                </c:pt>
                <c:pt idx="2">
                  <c:v>4.1867216885910281</c:v>
                </c:pt>
                <c:pt idx="3">
                  <c:v>6.2104383604629376</c:v>
                </c:pt>
                <c:pt idx="4">
                  <c:v>7.4680904225519296</c:v>
                </c:pt>
                <c:pt idx="5">
                  <c:v>8.3341379368072985</c:v>
                </c:pt>
                <c:pt idx="6">
                  <c:v>9.427014428630347</c:v>
                </c:pt>
                <c:pt idx="7">
                  <c:v>10.363406549559038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98-48C1-90AB-66557F056D52}"/>
            </c:ext>
          </c:extLst>
        </c:ser>
        <c:ser>
          <c:idx val="0"/>
          <c:order val="1"/>
          <c:tx>
            <c:strRef>
              <c:f>Multiples!$H$71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Multiples!$H$72:$H$79</c:f>
              <c:numCache>
                <c:formatCode>0.00</c:formatCode>
                <c:ptCount val="8"/>
                <c:pt idx="0">
                  <c:v>4.750966733485078</c:v>
                </c:pt>
                <c:pt idx="1">
                  <c:v>6.0452678062484555</c:v>
                </c:pt>
                <c:pt idx="2">
                  <c:v>8.3734433771820562</c:v>
                </c:pt>
                <c:pt idx="3">
                  <c:v>12.420876720925875</c:v>
                </c:pt>
                <c:pt idx="4">
                  <c:v>14.936180845103859</c:v>
                </c:pt>
                <c:pt idx="5">
                  <c:v>16.668275873614597</c:v>
                </c:pt>
                <c:pt idx="6">
                  <c:v>18.854028857260694</c:v>
                </c:pt>
                <c:pt idx="7">
                  <c:v>20.726813099118075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98-48C1-90AB-66557F056D52}"/>
            </c:ext>
          </c:extLst>
        </c:ser>
        <c:ser>
          <c:idx val="4"/>
          <c:order val="2"/>
          <c:tx>
            <c:strRef>
              <c:f>Multiples!$G$71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Multiples!$G$72:$G$79</c:f>
              <c:numCache>
                <c:formatCode>0.00</c:formatCode>
                <c:ptCount val="8"/>
                <c:pt idx="0">
                  <c:v>7.1264501002276175</c:v>
                </c:pt>
                <c:pt idx="1">
                  <c:v>9.0679017093726841</c:v>
                </c:pt>
                <c:pt idx="2">
                  <c:v>12.560165065773086</c:v>
                </c:pt>
                <c:pt idx="3">
                  <c:v>18.631315081388816</c:v>
                </c:pt>
                <c:pt idx="4">
                  <c:v>22.40427126765579</c:v>
                </c:pt>
                <c:pt idx="5">
                  <c:v>25.002413810421896</c:v>
                </c:pt>
                <c:pt idx="6">
                  <c:v>28.281043285891045</c:v>
                </c:pt>
                <c:pt idx="7">
                  <c:v>31.090219648677117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98-48C1-90AB-66557F056D52}"/>
            </c:ext>
          </c:extLst>
        </c:ser>
        <c:ser>
          <c:idx val="3"/>
          <c:order val="3"/>
          <c:tx>
            <c:strRef>
              <c:f>Multiples!$F$71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Multiples!$F$72:$F$79</c:f>
              <c:numCache>
                <c:formatCode>0.00</c:formatCode>
                <c:ptCount val="8"/>
                <c:pt idx="0">
                  <c:v>9.5019334669701561</c:v>
                </c:pt>
                <c:pt idx="1">
                  <c:v>12.090535612496911</c:v>
                </c:pt>
                <c:pt idx="2">
                  <c:v>16.746886754364112</c:v>
                </c:pt>
                <c:pt idx="3">
                  <c:v>24.84175344185175</c:v>
                </c:pt>
                <c:pt idx="4">
                  <c:v>29.872361690207718</c:v>
                </c:pt>
                <c:pt idx="5">
                  <c:v>33.336551747229194</c:v>
                </c:pt>
                <c:pt idx="6">
                  <c:v>37.708057714521388</c:v>
                </c:pt>
                <c:pt idx="7">
                  <c:v>41.453626198236151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98-48C1-90AB-66557F056D52}"/>
            </c:ext>
          </c:extLst>
        </c:ser>
        <c:ser>
          <c:idx val="2"/>
          <c:order val="4"/>
          <c:tx>
            <c:strRef>
              <c:f>Multiples!$E$71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Multiples!$E$72:$E$79</c:f>
              <c:numCache>
                <c:formatCode>0.00</c:formatCode>
                <c:ptCount val="8"/>
                <c:pt idx="0">
                  <c:v>11.877416833712694</c:v>
                </c:pt>
                <c:pt idx="1">
                  <c:v>15.113169515621138</c:v>
                </c:pt>
                <c:pt idx="2">
                  <c:v>20.933608442955141</c:v>
                </c:pt>
                <c:pt idx="3">
                  <c:v>31.052191802314688</c:v>
                </c:pt>
                <c:pt idx="4">
                  <c:v>37.34045211275965</c:v>
                </c:pt>
                <c:pt idx="5">
                  <c:v>41.670689684036489</c:v>
                </c:pt>
                <c:pt idx="6">
                  <c:v>47.135072143151739</c:v>
                </c:pt>
                <c:pt idx="7">
                  <c:v>51.817032747795189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98-48C1-90AB-66557F056D52}"/>
            </c:ext>
          </c:extLst>
        </c:ser>
        <c:ser>
          <c:idx val="5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Multiples!$K$57:$K$58</c:f>
              <c:numCache>
                <c:formatCode>General</c:formatCode>
                <c:ptCount val="2"/>
                <c:pt idx="0">
                  <c:v>8</c:v>
                </c:pt>
                <c:pt idx="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98-48C1-90AB-66557F056D52}"/>
            </c:ext>
          </c:extLst>
        </c:ser>
        <c:ser>
          <c:idx val="1"/>
          <c:order val="6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Multiples!$J$57:$J$58</c:f>
              <c:numCache>
                <c:formatCode>General</c:formatCode>
                <c:ptCount val="2"/>
                <c:pt idx="0">
                  <c:v>0</c:v>
                </c:pt>
                <c:pt idx="1">
                  <c:v>51.817032747795189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98-48C1-90AB-66557F056D5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Multiples!$G$56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Multiples!$K$56</c:f>
              <c:numCache>
                <c:formatCode>#,##0.00</c:formatCode>
                <c:ptCount val="1"/>
                <c:pt idx="0">
                  <c:v>11.112355944182474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B-40DC-BD39-A53F2B12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Oil</a:t>
                </a:r>
                <a:r>
                  <a:rPr lang="en-US" baseline="0"/>
                  <a:t> Reserves Multiple (M$/bbl)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Production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Multiples!$S$60</c:f>
              <c:strCache>
                <c:ptCount val="1"/>
                <c:pt idx="0">
                  <c:v>0.25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Multiples!$S$61:$S$68</c:f>
              <c:numCache>
                <c:formatCode>#,##0</c:formatCode>
                <c:ptCount val="8"/>
                <c:pt idx="0">
                  <c:v>789.33852401818626</c:v>
                </c:pt>
                <c:pt idx="1">
                  <c:v>730.60998391785006</c:v>
                </c:pt>
                <c:pt idx="2">
                  <c:v>623.72408562074963</c:v>
                </c:pt>
                <c:pt idx="3">
                  <c:v>449.8264151775092</c:v>
                </c:pt>
                <c:pt idx="4">
                  <c:v>350.59706217955772</c:v>
                </c:pt>
                <c:pt idx="5">
                  <c:v>284.94055406920717</c:v>
                </c:pt>
                <c:pt idx="6">
                  <c:v>201.70897437431194</c:v>
                </c:pt>
                <c:pt idx="7">
                  <c:v>114.26761777798882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6D-4607-82CD-C2E0511D8303}"/>
            </c:ext>
          </c:extLst>
        </c:ser>
        <c:ser>
          <c:idx val="0"/>
          <c:order val="1"/>
          <c:tx>
            <c:strRef>
              <c:f>Multiples!$R$60</c:f>
              <c:strCache>
                <c:ptCount val="1"/>
                <c:pt idx="0">
                  <c:v>0.50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Multiples!$R$61:$R$68</c:f>
              <c:numCache>
                <c:formatCode>#,##0</c:formatCode>
                <c:ptCount val="8"/>
                <c:pt idx="0">
                  <c:v>1578.6770480363725</c:v>
                </c:pt>
                <c:pt idx="1">
                  <c:v>1461.2199678357001</c:v>
                </c:pt>
                <c:pt idx="2">
                  <c:v>1247.4481712414993</c:v>
                </c:pt>
                <c:pt idx="3">
                  <c:v>899.65283035501841</c:v>
                </c:pt>
                <c:pt idx="4">
                  <c:v>701.19412435911545</c:v>
                </c:pt>
                <c:pt idx="5">
                  <c:v>569.88110813841433</c:v>
                </c:pt>
                <c:pt idx="6">
                  <c:v>403.41794874862387</c:v>
                </c:pt>
                <c:pt idx="7">
                  <c:v>228.53523555597764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6D-4607-82CD-C2E0511D8303}"/>
            </c:ext>
          </c:extLst>
        </c:ser>
        <c:ser>
          <c:idx val="4"/>
          <c:order val="2"/>
          <c:tx>
            <c:strRef>
              <c:f>Multiples!$Q$60</c:f>
              <c:strCache>
                <c:ptCount val="1"/>
                <c:pt idx="0">
                  <c:v>0.75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Multiples!$Q$61:$Q$68</c:f>
              <c:numCache>
                <c:formatCode>#,##0</c:formatCode>
                <c:ptCount val="8"/>
                <c:pt idx="0">
                  <c:v>2368.015572054559</c:v>
                </c:pt>
                <c:pt idx="1">
                  <c:v>2191.8299517535502</c:v>
                </c:pt>
                <c:pt idx="2">
                  <c:v>1871.172256862249</c:v>
                </c:pt>
                <c:pt idx="3">
                  <c:v>1349.4792455325276</c:v>
                </c:pt>
                <c:pt idx="4">
                  <c:v>1051.7911865386732</c:v>
                </c:pt>
                <c:pt idx="5">
                  <c:v>854.82166220762144</c:v>
                </c:pt>
                <c:pt idx="6">
                  <c:v>605.12692312293575</c:v>
                </c:pt>
                <c:pt idx="7">
                  <c:v>342.80285333396648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6D-4607-82CD-C2E0511D8303}"/>
            </c:ext>
          </c:extLst>
        </c:ser>
        <c:ser>
          <c:idx val="3"/>
          <c:order val="3"/>
          <c:tx>
            <c:strRef>
              <c:f>Multiples!$P$60</c:f>
              <c:strCache>
                <c:ptCount val="1"/>
                <c:pt idx="0">
                  <c:v>1.00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Multiples!$P$61:$P$68</c:f>
              <c:numCache>
                <c:formatCode>#,##0</c:formatCode>
                <c:ptCount val="8"/>
                <c:pt idx="0">
                  <c:v>3157.3540960727451</c:v>
                </c:pt>
                <c:pt idx="1">
                  <c:v>2922.4399356714002</c:v>
                </c:pt>
                <c:pt idx="2">
                  <c:v>2494.8963424829985</c:v>
                </c:pt>
                <c:pt idx="3">
                  <c:v>1799.3056607100368</c:v>
                </c:pt>
                <c:pt idx="4">
                  <c:v>1402.3882487182309</c:v>
                </c:pt>
                <c:pt idx="5">
                  <c:v>1139.7622162768287</c:v>
                </c:pt>
                <c:pt idx="6">
                  <c:v>806.83589749724774</c:v>
                </c:pt>
                <c:pt idx="7">
                  <c:v>457.07047111195527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6D-4607-82CD-C2E0511D8303}"/>
            </c:ext>
          </c:extLst>
        </c:ser>
        <c:ser>
          <c:idx val="2"/>
          <c:order val="4"/>
          <c:tx>
            <c:strRef>
              <c:f>Multiples!$O$60</c:f>
              <c:strCache>
                <c:ptCount val="1"/>
                <c:pt idx="0">
                  <c:v>1.25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Multiples!$C$61:$C$68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Multiples!$O$61:$O$68</c:f>
              <c:numCache>
                <c:formatCode>#,##0</c:formatCode>
                <c:ptCount val="8"/>
                <c:pt idx="0">
                  <c:v>3946.6926200909311</c:v>
                </c:pt>
                <c:pt idx="1">
                  <c:v>3653.0499195892503</c:v>
                </c:pt>
                <c:pt idx="2">
                  <c:v>3118.6204281037485</c:v>
                </c:pt>
                <c:pt idx="3">
                  <c:v>2249.1320758875459</c:v>
                </c:pt>
                <c:pt idx="4">
                  <c:v>1752.9853108977886</c:v>
                </c:pt>
                <c:pt idx="5">
                  <c:v>1424.7027703460358</c:v>
                </c:pt>
                <c:pt idx="6">
                  <c:v>1008.5448718715597</c:v>
                </c:pt>
                <c:pt idx="7">
                  <c:v>571.33808888994406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6D-4607-82CD-C2E0511D8303}"/>
            </c:ext>
          </c:extLst>
        </c:ser>
        <c:ser>
          <c:idx val="5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Multiples!$T$57:$T$58</c:f>
              <c:numCache>
                <c:formatCode>General</c:formatCode>
                <c:ptCount val="2"/>
                <c:pt idx="0">
                  <c:v>600</c:v>
                </c:pt>
                <c:pt idx="1">
                  <c:v>1050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6D-4607-82CD-C2E0511D8303}"/>
            </c:ext>
          </c:extLst>
        </c:ser>
        <c:ser>
          <c:idx val="1"/>
          <c:order val="6"/>
          <c:tx>
            <c:strRef>
              <c:f>Multiples!$R$57:$R$58</c:f>
              <c:strCache>
                <c:ptCount val="2"/>
                <c:pt idx="0">
                  <c:v>10.00</c:v>
                </c:pt>
                <c:pt idx="1">
                  <c:v>10.00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Multiples!$S$57:$S$58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3946.6926200909311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6D-4607-82CD-C2E0511D830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Multiples!$R$56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Multiples!$T$56</c:f>
              <c:numCache>
                <c:formatCode>#,##0</c:formatCode>
                <c:ptCount val="1"/>
                <c:pt idx="0">
                  <c:v>806.41451606843646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81-4E23-A114-8654C221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Gas Production Multiple (M$/Mcf/day)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24761791020753754"/>
          <c:y val="0.88837335849149945"/>
          <c:w val="0.64743882042478185"/>
          <c:h val="7.1552603419810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Reserves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Multiples!$S$71</c:f>
              <c:strCache>
                <c:ptCount val="1"/>
                <c:pt idx="0">
                  <c:v>0.25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Multiples!$S$72:$S$79</c:f>
              <c:numCache>
                <c:formatCode>#,##0.00</c:formatCode>
                <c:ptCount val="8"/>
                <c:pt idx="0">
                  <c:v>5.9316525361844077E-2</c:v>
                </c:pt>
                <c:pt idx="1">
                  <c:v>7.5376183249401235E-2</c:v>
                </c:pt>
                <c:pt idx="2">
                  <c:v>0.10423532308347502</c:v>
                </c:pt>
                <c:pt idx="3">
                  <c:v>0.15437714344379994</c:v>
                </c:pt>
                <c:pt idx="4">
                  <c:v>0.18555724496495926</c:v>
                </c:pt>
                <c:pt idx="5">
                  <c:v>0.20705779318615228</c:v>
                </c:pt>
                <c:pt idx="6">
                  <c:v>0.23426629668221727</c:v>
                </c:pt>
                <c:pt idx="7">
                  <c:v>0.25781814065807218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99-4E13-AB91-C8EB701483C5}"/>
            </c:ext>
          </c:extLst>
        </c:ser>
        <c:ser>
          <c:idx val="0"/>
          <c:order val="1"/>
          <c:tx>
            <c:strRef>
              <c:f>Multiples!$R$71</c:f>
              <c:strCache>
                <c:ptCount val="1"/>
                <c:pt idx="0">
                  <c:v>0.50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Multiples!$R$72:$R$79</c:f>
              <c:numCache>
                <c:formatCode>#,##0.00</c:formatCode>
                <c:ptCount val="8"/>
                <c:pt idx="0">
                  <c:v>0.11863305072368815</c:v>
                </c:pt>
                <c:pt idx="1">
                  <c:v>0.15075236649880247</c:v>
                </c:pt>
                <c:pt idx="2">
                  <c:v>0.20847064616695005</c:v>
                </c:pt>
                <c:pt idx="3">
                  <c:v>0.30875428688759987</c:v>
                </c:pt>
                <c:pt idx="4">
                  <c:v>0.37111448992991852</c:v>
                </c:pt>
                <c:pt idx="5">
                  <c:v>0.41411558637230456</c:v>
                </c:pt>
                <c:pt idx="6">
                  <c:v>0.46853259336443454</c:v>
                </c:pt>
                <c:pt idx="7">
                  <c:v>0.51563628131614436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99-4E13-AB91-C8EB701483C5}"/>
            </c:ext>
          </c:extLst>
        </c:ser>
        <c:ser>
          <c:idx val="4"/>
          <c:order val="2"/>
          <c:tx>
            <c:strRef>
              <c:f>Multiples!$Q$71</c:f>
              <c:strCache>
                <c:ptCount val="1"/>
                <c:pt idx="0">
                  <c:v>0.75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Multiples!$Q$72:$Q$79</c:f>
              <c:numCache>
                <c:formatCode>#,##0.00</c:formatCode>
                <c:ptCount val="8"/>
                <c:pt idx="0">
                  <c:v>0.17794957608553222</c:v>
                </c:pt>
                <c:pt idx="1">
                  <c:v>0.22612854974820371</c:v>
                </c:pt>
                <c:pt idx="2">
                  <c:v>0.3127059692504251</c:v>
                </c:pt>
                <c:pt idx="3">
                  <c:v>0.46313143033139986</c:v>
                </c:pt>
                <c:pt idx="4">
                  <c:v>0.55667173489487776</c:v>
                </c:pt>
                <c:pt idx="5">
                  <c:v>0.62117337955845686</c:v>
                </c:pt>
                <c:pt idx="6">
                  <c:v>0.70279889004665175</c:v>
                </c:pt>
                <c:pt idx="7">
                  <c:v>0.77345442197421665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99-4E13-AB91-C8EB701483C5}"/>
            </c:ext>
          </c:extLst>
        </c:ser>
        <c:ser>
          <c:idx val="3"/>
          <c:order val="3"/>
          <c:tx>
            <c:strRef>
              <c:f>Multiples!$P$71</c:f>
              <c:strCache>
                <c:ptCount val="1"/>
                <c:pt idx="0">
                  <c:v>1.00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Multiples!$P$72:$P$79</c:f>
              <c:numCache>
                <c:formatCode>#,##0.00</c:formatCode>
                <c:ptCount val="8"/>
                <c:pt idx="0">
                  <c:v>0.23726610144737631</c:v>
                </c:pt>
                <c:pt idx="1">
                  <c:v>0.30150473299760494</c:v>
                </c:pt>
                <c:pt idx="2">
                  <c:v>0.41694129233390009</c:v>
                </c:pt>
                <c:pt idx="3">
                  <c:v>0.61750857377519974</c:v>
                </c:pt>
                <c:pt idx="4">
                  <c:v>0.74222897985983705</c:v>
                </c:pt>
                <c:pt idx="5">
                  <c:v>0.82823117274460911</c:v>
                </c:pt>
                <c:pt idx="6">
                  <c:v>0.93706518672886907</c:v>
                </c:pt>
                <c:pt idx="7">
                  <c:v>1.0312725626322887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99-4E13-AB91-C8EB701483C5}"/>
            </c:ext>
          </c:extLst>
        </c:ser>
        <c:ser>
          <c:idx val="2"/>
          <c:order val="4"/>
          <c:tx>
            <c:strRef>
              <c:f>Multiples!$O$71</c:f>
              <c:strCache>
                <c:ptCount val="1"/>
                <c:pt idx="0">
                  <c:v>1.25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Multiples!$C$72:$C$79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Multiples!$O$72:$O$79</c:f>
              <c:numCache>
                <c:formatCode>#,##0.00</c:formatCode>
                <c:ptCount val="8"/>
                <c:pt idx="0">
                  <c:v>0.29658262680922037</c:v>
                </c:pt>
                <c:pt idx="1">
                  <c:v>0.3768809162470062</c:v>
                </c:pt>
                <c:pt idx="2">
                  <c:v>0.52117661541737514</c:v>
                </c:pt>
                <c:pt idx="3">
                  <c:v>0.77188571721899979</c:v>
                </c:pt>
                <c:pt idx="4">
                  <c:v>0.92778622482479634</c:v>
                </c:pt>
                <c:pt idx="5">
                  <c:v>1.0352889659307614</c:v>
                </c:pt>
                <c:pt idx="6">
                  <c:v>1.1713314834110862</c:v>
                </c:pt>
                <c:pt idx="7">
                  <c:v>1.2890907032903611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D99-4E13-AB91-C8EB701483C5}"/>
            </c:ext>
          </c:extLst>
        </c:ser>
        <c:ser>
          <c:idx val="5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Multiples!$V$57:$V$58</c:f>
              <c:numCache>
                <c:formatCode>General</c:formatCode>
                <c:ptCount val="2"/>
                <c:pt idx="0">
                  <c:v>0.15</c:v>
                </c:pt>
                <c:pt idx="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99-4E13-AB91-C8EB701483C5}"/>
            </c:ext>
          </c:extLst>
        </c:ser>
        <c:ser>
          <c:idx val="1"/>
          <c:order val="6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Multiples!$U$57:$U$58</c:f>
              <c:numCache>
                <c:formatCode>#,##0.00</c:formatCode>
                <c:ptCount val="2"/>
                <c:pt idx="0" formatCode="General">
                  <c:v>0</c:v>
                </c:pt>
                <c:pt idx="1">
                  <c:v>1.2890907032903611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99-4E13-AB91-C8EB701483C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Multiples!$R$56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Multiples!$V$56</c:f>
              <c:numCache>
                <c:formatCode>#,##0.00</c:formatCode>
                <c:ptCount val="1"/>
                <c:pt idx="0">
                  <c:v>0.2210654606617643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CA-4061-9F1A-313066F7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Gas Reserves Multiple (M$/Mcf)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25120195627120701"/>
          <c:y val="0.87950497045684928"/>
          <c:w val="0.64762283642800011"/>
          <c:h val="6.6741843654909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Cash Flow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Multiples!$E$82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Multiples!$E$83:$E$90</c:f>
              <c:numCache>
                <c:formatCode>General</c:formatCode>
                <c:ptCount val="8"/>
                <c:pt idx="0">
                  <c:v>13.065490361459112</c:v>
                </c:pt>
                <c:pt idx="1">
                  <c:v>11.383587381122906</c:v>
                </c:pt>
                <c:pt idx="2">
                  <c:v>9.1051544929305255</c:v>
                </c:pt>
                <c:pt idx="3">
                  <c:v>6.305972672864967</c:v>
                </c:pt>
                <c:pt idx="4">
                  <c:v>4.9367572689664385</c:v>
                </c:pt>
                <c:pt idx="5">
                  <c:v>4.0683553286162857</c:v>
                </c:pt>
                <c:pt idx="6">
                  <c:v>2.9655599790565597</c:v>
                </c:pt>
                <c:pt idx="7">
                  <c:v>1.7092754225309099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35-47C5-B4E2-567861897895}"/>
            </c:ext>
          </c:extLst>
        </c:ser>
        <c:ser>
          <c:idx val="0"/>
          <c:order val="1"/>
          <c:tx>
            <c:strRef>
              <c:f>Multiples!$F$82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Multiples!$F$83:$F$90</c:f>
              <c:numCache>
                <c:formatCode>General</c:formatCode>
                <c:ptCount val="8"/>
                <c:pt idx="0">
                  <c:v>10.706490557237251</c:v>
                </c:pt>
                <c:pt idx="1">
                  <c:v>9.496215689523698</c:v>
                </c:pt>
                <c:pt idx="2">
                  <c:v>7.8147217239424389</c:v>
                </c:pt>
                <c:pt idx="3">
                  <c:v>5.6525148665375191</c:v>
                </c:pt>
                <c:pt idx="4">
                  <c:v>4.5375480684855285</c:v>
                </c:pt>
                <c:pt idx="5">
                  <c:v>3.8031731465010985</c:v>
                </c:pt>
                <c:pt idx="6">
                  <c:v>2.8321796088299855</c:v>
                </c:pt>
                <c:pt idx="7">
                  <c:v>1.6638552628485404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35-47C5-B4E2-567861897895}"/>
            </c:ext>
          </c:extLst>
        </c:ser>
        <c:ser>
          <c:idx val="4"/>
          <c:order val="2"/>
          <c:tx>
            <c:strRef>
              <c:f>Multiples!$G$82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Multiples!$G$83:$G$90</c:f>
              <c:numCache>
                <c:formatCode>General</c:formatCode>
                <c:ptCount val="8"/>
                <c:pt idx="0">
                  <c:v>8.8767081541234027</c:v>
                </c:pt>
                <c:pt idx="1">
                  <c:v>8.0322564711961633</c:v>
                </c:pt>
                <c:pt idx="2">
                  <c:v>6.8137843059443304</c:v>
                </c:pt>
                <c:pt idx="3">
                  <c:v>5.1456536141306985</c:v>
                </c:pt>
                <c:pt idx="4">
                  <c:v>4.2278973559700734</c:v>
                </c:pt>
                <c:pt idx="5">
                  <c:v>3.5974818659909009</c:v>
                </c:pt>
                <c:pt idx="6">
                  <c:v>2.7287217560889165</c:v>
                </c:pt>
                <c:pt idx="7">
                  <c:v>1.6286246499486656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35-47C5-B4E2-567861897895}"/>
            </c:ext>
          </c:extLst>
        </c:ser>
        <c:ser>
          <c:idx val="3"/>
          <c:order val="3"/>
          <c:tx>
            <c:strRef>
              <c:f>Multiples!$H$82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Multiples!$H$83:$H$90</c:f>
              <c:numCache>
                <c:formatCode>General</c:formatCode>
                <c:ptCount val="8"/>
                <c:pt idx="0">
                  <c:v>7.9179948001359071</c:v>
                </c:pt>
                <c:pt idx="1">
                  <c:v>7.2445089209723115</c:v>
                </c:pt>
                <c:pt idx="2">
                  <c:v>6.2767819914494929</c:v>
                </c:pt>
                <c:pt idx="3">
                  <c:v>4.8067244274718641</c:v>
                </c:pt>
                <c:pt idx="4">
                  <c:v>3.9899741541446914</c:v>
                </c:pt>
                <c:pt idx="5">
                  <c:v>3.4443419224312533</c:v>
                </c:pt>
                <c:pt idx="6">
                  <c:v>2.6583896089365506</c:v>
                </c:pt>
                <c:pt idx="7">
                  <c:v>1.5931589268489701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35-47C5-B4E2-567861897895}"/>
            </c:ext>
          </c:extLst>
        </c:ser>
        <c:ser>
          <c:idx val="2"/>
          <c:order val="4"/>
          <c:tx>
            <c:strRef>
              <c:f>Multiples!$I$82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Multiples!$I$83:$I$90</c:f>
              <c:numCache>
                <c:formatCode>General</c:formatCode>
                <c:ptCount val="8"/>
                <c:pt idx="0">
                  <c:v>6.4052573629824208</c:v>
                </c:pt>
                <c:pt idx="1">
                  <c:v>6.0015355073933581</c:v>
                </c:pt>
                <c:pt idx="2">
                  <c:v>5.4294552054026539</c:v>
                </c:pt>
                <c:pt idx="3">
                  <c:v>4.2719338489633598</c:v>
                </c:pt>
                <c:pt idx="4">
                  <c:v>3.6145591950521587</c:v>
                </c:pt>
                <c:pt idx="5">
                  <c:v>3.2027050194062507</c:v>
                </c:pt>
                <c:pt idx="6">
                  <c:v>2.5474137144314253</c:v>
                </c:pt>
                <c:pt idx="7">
                  <c:v>1.5371981677279198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35-47C5-B4E2-567861897895}"/>
            </c:ext>
          </c:extLst>
        </c:ser>
        <c:ser>
          <c:idx val="5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Multiples!$M$57:$M$58</c:f>
              <c:numCache>
                <c:formatCode>General</c:formatCode>
                <c:ptCount val="2"/>
                <c:pt idx="0">
                  <c:v>5</c:v>
                </c:pt>
                <c:pt idx="1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35-47C5-B4E2-567861897895}"/>
            </c:ext>
          </c:extLst>
        </c:ser>
        <c:ser>
          <c:idx val="1"/>
          <c:order val="6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Multiples!$G$57:$G$58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Multiples!$L$57:$L$58</c:f>
              <c:numCache>
                <c:formatCode>General</c:formatCode>
                <c:ptCount val="2"/>
                <c:pt idx="0">
                  <c:v>0</c:v>
                </c:pt>
                <c:pt idx="1">
                  <c:v>13.065490361459112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35-47C5-B4E2-56786189789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Multiples!$G$56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Multiples!$M$56</c:f>
              <c:numCache>
                <c:formatCode>0.00</c:formatCode>
                <c:ptCount val="1"/>
                <c:pt idx="0">
                  <c:v>5.6472388001859866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55-4F3D-A859-CCDF15D3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Cash Flow Multiple ($/$)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Cash Flow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Multiples!$E$82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Multiples!$E$83:$E$90</c:f>
              <c:numCache>
                <c:formatCode>General</c:formatCode>
                <c:ptCount val="8"/>
                <c:pt idx="0">
                  <c:v>13.065490361459112</c:v>
                </c:pt>
                <c:pt idx="1">
                  <c:v>11.383587381122906</c:v>
                </c:pt>
                <c:pt idx="2">
                  <c:v>9.1051544929305255</c:v>
                </c:pt>
                <c:pt idx="3">
                  <c:v>6.305972672864967</c:v>
                </c:pt>
                <c:pt idx="4">
                  <c:v>4.9367572689664385</c:v>
                </c:pt>
                <c:pt idx="5">
                  <c:v>4.0683553286162857</c:v>
                </c:pt>
                <c:pt idx="6">
                  <c:v>2.9655599790565597</c:v>
                </c:pt>
                <c:pt idx="7">
                  <c:v>1.7092754225309099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AE-4484-8FB3-1A9CF8165A89}"/>
            </c:ext>
          </c:extLst>
        </c:ser>
        <c:ser>
          <c:idx val="0"/>
          <c:order val="1"/>
          <c:tx>
            <c:strRef>
              <c:f>Multiples!$F$82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Multiples!$F$83:$F$90</c:f>
              <c:numCache>
                <c:formatCode>General</c:formatCode>
                <c:ptCount val="8"/>
                <c:pt idx="0">
                  <c:v>10.706490557237251</c:v>
                </c:pt>
                <c:pt idx="1">
                  <c:v>9.496215689523698</c:v>
                </c:pt>
                <c:pt idx="2">
                  <c:v>7.8147217239424389</c:v>
                </c:pt>
                <c:pt idx="3">
                  <c:v>5.6525148665375191</c:v>
                </c:pt>
                <c:pt idx="4">
                  <c:v>4.5375480684855285</c:v>
                </c:pt>
                <c:pt idx="5">
                  <c:v>3.8031731465010985</c:v>
                </c:pt>
                <c:pt idx="6">
                  <c:v>2.8321796088299855</c:v>
                </c:pt>
                <c:pt idx="7">
                  <c:v>1.6638552628485404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AE-4484-8FB3-1A9CF8165A89}"/>
            </c:ext>
          </c:extLst>
        </c:ser>
        <c:ser>
          <c:idx val="4"/>
          <c:order val="2"/>
          <c:tx>
            <c:strRef>
              <c:f>Multiples!$G$82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Multiples!$G$83:$G$90</c:f>
              <c:numCache>
                <c:formatCode>General</c:formatCode>
                <c:ptCount val="8"/>
                <c:pt idx="0">
                  <c:v>8.8767081541234027</c:v>
                </c:pt>
                <c:pt idx="1">
                  <c:v>8.0322564711961633</c:v>
                </c:pt>
                <c:pt idx="2">
                  <c:v>6.8137843059443304</c:v>
                </c:pt>
                <c:pt idx="3">
                  <c:v>5.1456536141306985</c:v>
                </c:pt>
                <c:pt idx="4">
                  <c:v>4.2278973559700734</c:v>
                </c:pt>
                <c:pt idx="5">
                  <c:v>3.5974818659909009</c:v>
                </c:pt>
                <c:pt idx="6">
                  <c:v>2.7287217560889165</c:v>
                </c:pt>
                <c:pt idx="7">
                  <c:v>1.6286246499486656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AE-4484-8FB3-1A9CF8165A89}"/>
            </c:ext>
          </c:extLst>
        </c:ser>
        <c:ser>
          <c:idx val="3"/>
          <c:order val="3"/>
          <c:tx>
            <c:strRef>
              <c:f>Multiples!$H$82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Multiples!$H$83:$H$90</c:f>
              <c:numCache>
                <c:formatCode>General</c:formatCode>
                <c:ptCount val="8"/>
                <c:pt idx="0">
                  <c:v>7.9179948001359071</c:v>
                </c:pt>
                <c:pt idx="1">
                  <c:v>7.2445089209723115</c:v>
                </c:pt>
                <c:pt idx="2">
                  <c:v>6.2767819914494929</c:v>
                </c:pt>
                <c:pt idx="3">
                  <c:v>4.8067244274718641</c:v>
                </c:pt>
                <c:pt idx="4">
                  <c:v>3.9899741541446914</c:v>
                </c:pt>
                <c:pt idx="5">
                  <c:v>3.4443419224312533</c:v>
                </c:pt>
                <c:pt idx="6">
                  <c:v>2.6583896089365506</c:v>
                </c:pt>
                <c:pt idx="7">
                  <c:v>1.5931589268489701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9AE-4484-8FB3-1A9CF8165A89}"/>
            </c:ext>
          </c:extLst>
        </c:ser>
        <c:ser>
          <c:idx val="2"/>
          <c:order val="4"/>
          <c:tx>
            <c:strRef>
              <c:f>Multiples!$I$82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Multiples!$D$83:$D$90</c:f>
              <c:numCache>
                <c:formatCode>0.00</c:formatCode>
                <c:ptCount val="8"/>
                <c:pt idx="0">
                  <c:v>36.493777397260274</c:v>
                </c:pt>
                <c:pt idx="1">
                  <c:v>26.579167808219179</c:v>
                </c:pt>
                <c:pt idx="2">
                  <c:v>16.406073630136987</c:v>
                </c:pt>
                <c:pt idx="3">
                  <c:v>7.9872123287671233</c:v>
                </c:pt>
                <c:pt idx="4">
                  <c:v>5.1785380993150687</c:v>
                </c:pt>
                <c:pt idx="5">
                  <c:v>3.7713617294520549</c:v>
                </c:pt>
                <c:pt idx="6">
                  <c:v>2.359336044520548</c:v>
                </c:pt>
                <c:pt idx="7">
                  <c:v>1.2142204623287671</c:v>
                </c:pt>
              </c:numCache>
            </c:numRef>
          </c:xVal>
          <c:yVal>
            <c:numRef>
              <c:f>Multiples!$I$83:$I$90</c:f>
              <c:numCache>
                <c:formatCode>General</c:formatCode>
                <c:ptCount val="8"/>
                <c:pt idx="0">
                  <c:v>6.4052573629824208</c:v>
                </c:pt>
                <c:pt idx="1">
                  <c:v>6.0015355073933581</c:v>
                </c:pt>
                <c:pt idx="2">
                  <c:v>5.4294552054026539</c:v>
                </c:pt>
                <c:pt idx="3">
                  <c:v>4.2719338489633598</c:v>
                </c:pt>
                <c:pt idx="4">
                  <c:v>3.6145591950521587</c:v>
                </c:pt>
                <c:pt idx="5">
                  <c:v>3.2027050194062507</c:v>
                </c:pt>
                <c:pt idx="6">
                  <c:v>2.5474137144314253</c:v>
                </c:pt>
                <c:pt idx="7">
                  <c:v>1.5371981677279198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9AE-4484-8FB3-1A9CF8165A89}"/>
            </c:ext>
          </c:extLst>
        </c:ser>
        <c:ser>
          <c:idx val="5"/>
          <c:order val="5"/>
          <c:spPr>
            <a:ln w="127000" cap="flat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Multiples!$X$57:$X$58</c:f>
              <c:numCache>
                <c:formatCode>General</c:formatCode>
                <c:ptCount val="2"/>
                <c:pt idx="0">
                  <c:v>5</c:v>
                </c:pt>
                <c:pt idx="1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AE-4484-8FB3-1A9CF8165A89}"/>
            </c:ext>
          </c:extLst>
        </c:ser>
        <c:ser>
          <c:idx val="1"/>
          <c:order val="6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Multiples!$R$57:$R$58</c:f>
              <c:numCache>
                <c:formatCode>0.00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Multiples!$W$57:$W$58</c:f>
              <c:numCache>
                <c:formatCode>General</c:formatCode>
                <c:ptCount val="2"/>
                <c:pt idx="0">
                  <c:v>0</c:v>
                </c:pt>
                <c:pt idx="1">
                  <c:v>13.065490361459112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AE-4484-8FB3-1A9CF8165A8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Multiples!$R$56</c:f>
              <c:numCache>
                <c:formatCode>0.00</c:formatCode>
                <c:ptCount val="1"/>
                <c:pt idx="0">
                  <c:v>10</c:v>
                </c:pt>
              </c:numCache>
            </c:numRef>
          </c:xVal>
          <c:yVal>
            <c:numRef>
              <c:f>Multiples!$X$56</c:f>
              <c:numCache>
                <c:formatCode>0.00</c:formatCode>
                <c:ptCount val="1"/>
                <c:pt idx="0">
                  <c:v>5.6472388001859866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9-488F-BFD5-C50C9D41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027992"/>
        <c:axId val="667028320"/>
      </c:scatterChart>
      <c:valAx>
        <c:axId val="667027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R/P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8320"/>
        <c:crosses val="autoZero"/>
        <c:crossBetween val="midCat"/>
      </c:valAx>
      <c:valAx>
        <c:axId val="6670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Cash Flow Multiple ($/$)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027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26974310058850082"/>
          <c:y val="0.89915824623640606"/>
          <c:w val="0.50613483586281727"/>
          <c:h val="7.2630594359381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Valuation Ranges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69203849518811"/>
          <c:y val="0.17171296296296296"/>
          <c:w val="0.74375240594925629"/>
          <c:h val="0.6227161708953047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CC0000"/>
            </a:solidFill>
            <a:ln>
              <a:noFill/>
            </a:ln>
            <a:effectLst/>
          </c:spPr>
          <c:invertIfNegative val="0"/>
          <c:val>
            <c:numRef>
              <c:f>Multiples!$AG$16:$AG$18</c:f>
              <c:numCache>
                <c:formatCode>#,##0</c:formatCode>
                <c:ptCount val="3"/>
                <c:pt idx="0">
                  <c:v>510.5</c:v>
                </c:pt>
                <c:pt idx="1">
                  <c:v>521.95000000000005</c:v>
                </c:pt>
                <c:pt idx="2">
                  <c:v>483.92500000000001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A-4611-8F48-1828A0E5317F}"/>
            </c:ext>
          </c:extLst>
        </c:ser>
        <c:ser>
          <c:idx val="0"/>
          <c:order val="1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Multiples!$AF$16:$AF$18</c:f>
              <c:numCache>
                <c:formatCode>#,##0</c:formatCode>
                <c:ptCount val="3"/>
                <c:pt idx="0">
                  <c:v>306</c:v>
                </c:pt>
                <c:pt idx="1">
                  <c:v>297.47500000000002</c:v>
                </c:pt>
                <c:pt idx="2">
                  <c:v>372.25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A-4611-8F48-1828A0E5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08276800"/>
        <c:axId val="508269256"/>
      </c:barChart>
      <c:catAx>
        <c:axId val="50827680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69256"/>
        <c:crosses val="autoZero"/>
        <c:auto val="1"/>
        <c:lblAlgn val="ctr"/>
        <c:lblOffset val="100"/>
        <c:noMultiLvlLbl val="0"/>
      </c:catAx>
      <c:valAx>
        <c:axId val="50826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</a:t>
                </a:r>
                <a:r>
                  <a:rPr lang="en-US" baseline="0"/>
                  <a:t> ($MM)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768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299287</xdr:colOff>
      <xdr:row>5</xdr:row>
      <xdr:rowOff>15629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DF9609DE-0D9B-49B6-8969-A365D72BDDB3}"/>
            </a:ext>
          </a:extLst>
        </xdr:cNvPr>
        <xdr:cNvSpPr txBox="1"/>
      </xdr:nvSpPr>
      <xdr:spPr>
        <a:xfrm>
          <a:off x="613833" y="0"/>
          <a:ext cx="2987454" cy="1031629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7F1E02"/>
              </a:solidFill>
              <a:latin typeface="Calibri"/>
            </a:rPr>
            <a:t>Gajdica Spreadsheets</a:t>
          </a:r>
        </a:p>
        <a:p>
          <a:pPr algn="ctr" rtl="0">
            <a:defRPr sz="1000"/>
          </a:pPr>
          <a:r>
            <a:rPr lang="en-US" sz="1800" b="0" i="1" u="none" strike="noStrike" baseline="0">
              <a:solidFill>
                <a:srgbClr val="7F1E02"/>
              </a:solidFill>
              <a:latin typeface="Calibri"/>
            </a:rPr>
            <a:t>Ronald J. Gajdica, PhD, PE</a:t>
          </a:r>
        </a:p>
        <a:p>
          <a:pPr algn="ctr" rtl="0">
            <a:defRPr sz="1000"/>
          </a:pPr>
          <a:r>
            <a:rPr lang="en-US" sz="1800" b="0" i="1" u="none" strike="noStrike" baseline="0">
              <a:solidFill>
                <a:srgbClr val="7F1E02"/>
              </a:solidFill>
              <a:latin typeface="Calibri"/>
            </a:rPr>
            <a:t>rgajdica@gmail.com</a:t>
          </a:r>
        </a:p>
      </xdr:txBody>
    </xdr:sp>
    <xdr:clientData/>
  </xdr:twoCellAnchor>
  <xdr:twoCellAnchor>
    <xdr:from>
      <xdr:col>6</xdr:col>
      <xdr:colOff>25400</xdr:colOff>
      <xdr:row>7</xdr:row>
      <xdr:rowOff>0</xdr:rowOff>
    </xdr:from>
    <xdr:to>
      <xdr:col>12</xdr:col>
      <xdr:colOff>592667</xdr:colOff>
      <xdr:row>22</xdr:row>
      <xdr:rowOff>10695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BB34502-B88A-4F42-B59C-4A33FF233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16933</xdr:colOff>
      <xdr:row>22</xdr:row>
      <xdr:rowOff>25401</xdr:rowOff>
    </xdr:from>
    <xdr:to>
      <xdr:col>12</xdr:col>
      <xdr:colOff>592666</xdr:colOff>
      <xdr:row>37</xdr:row>
      <xdr:rowOff>10690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884E80E-C393-472F-8C34-0826438C7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16934</xdr:colOff>
      <xdr:row>7</xdr:row>
      <xdr:rowOff>0</xdr:rowOff>
    </xdr:from>
    <xdr:to>
      <xdr:col>24</xdr:col>
      <xdr:colOff>421997</xdr:colOff>
      <xdr:row>22</xdr:row>
      <xdr:rowOff>10695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B43FA54-FBD3-463B-B80D-8AA91BE8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16934</xdr:colOff>
      <xdr:row>22</xdr:row>
      <xdr:rowOff>25401</xdr:rowOff>
    </xdr:from>
    <xdr:to>
      <xdr:col>24</xdr:col>
      <xdr:colOff>420661</xdr:colOff>
      <xdr:row>36</xdr:row>
      <xdr:rowOff>188490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8606718-E5F6-4A5F-AC29-ECCFEE0D4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16934</xdr:colOff>
      <xdr:row>36</xdr:row>
      <xdr:rowOff>190499</xdr:rowOff>
    </xdr:from>
    <xdr:to>
      <xdr:col>12</xdr:col>
      <xdr:colOff>592667</xdr:colOff>
      <xdr:row>52</xdr:row>
      <xdr:rowOff>51964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A04E384-E71F-4E92-8F64-DFF237CBA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6</xdr:col>
      <xdr:colOff>194734</xdr:colOff>
      <xdr:row>20</xdr:row>
      <xdr:rowOff>76194</xdr:rowOff>
    </xdr:from>
    <xdr:ext cx="1018997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8F9AC4-76F4-406A-BE65-FD30F9F78A17}"/>
            </a:ext>
          </a:extLst>
        </xdr:cNvPr>
        <xdr:cNvSpPr txBox="1"/>
      </xdr:nvSpPr>
      <xdr:spPr>
        <a:xfrm>
          <a:off x="4656667" y="3903127"/>
          <a:ext cx="101899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Margin ($/bbl)</a:t>
          </a:r>
        </a:p>
      </xdr:txBody>
    </xdr:sp>
    <xdr:clientData/>
  </xdr:oneCellAnchor>
  <xdr:twoCellAnchor>
    <xdr:from>
      <xdr:col>17</xdr:col>
      <xdr:colOff>16935</xdr:colOff>
      <xdr:row>37</xdr:row>
      <xdr:rowOff>0</xdr:rowOff>
    </xdr:from>
    <xdr:to>
      <xdr:col>24</xdr:col>
      <xdr:colOff>431801</xdr:colOff>
      <xdr:row>52</xdr:row>
      <xdr:rowOff>61490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94B27A8-31F3-4DFC-8C51-338F0462C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592666</xdr:colOff>
      <xdr:row>18</xdr:row>
      <xdr:rowOff>50799</xdr:rowOff>
    </xdr:from>
    <xdr:to>
      <xdr:col>33</xdr:col>
      <xdr:colOff>25399</xdr:colOff>
      <xdr:row>35</xdr:row>
      <xdr:rowOff>67732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6A4C8FE-2907-40D9-96D3-B4F300F84C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0.05017</cdr:x>
      <cdr:y>0.88984</cdr:y>
    </cdr:from>
    <cdr:to>
      <cdr:x>0.2584</cdr:x>
      <cdr:y>0.98222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B08F9AC4-76F4-406A-BE65-FD30F9F78A17}"/>
            </a:ext>
          </a:extLst>
        </cdr:cNvPr>
        <cdr:cNvSpPr txBox="1"/>
      </cdr:nvSpPr>
      <cdr:spPr>
        <a:xfrm xmlns:a="http://schemas.openxmlformats.org/drawingml/2006/main">
          <a:off x="245533" y="2548467"/>
          <a:ext cx="101899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Margin ($/bbl)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0.05436</cdr:x>
      <cdr:y>0.87356</cdr:y>
    </cdr:from>
    <cdr:to>
      <cdr:x>0.25007</cdr:x>
      <cdr:y>0.98504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AECD3-D8A9-4A8A-BC23-C60C3C3A2609}"/>
            </a:ext>
          </a:extLst>
        </cdr:cNvPr>
        <cdr:cNvSpPr txBox="1"/>
      </cdr:nvSpPr>
      <cdr:spPr>
        <a:xfrm xmlns:a="http://schemas.openxmlformats.org/drawingml/2006/main">
          <a:off x="253999" y="2472266"/>
          <a:ext cx="914400" cy="315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Margin ($/Mcf)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0.04894</cdr:x>
      <cdr:y>0.87729</cdr:y>
    </cdr:from>
    <cdr:to>
      <cdr:x>0.24471</cdr:x>
      <cdr:y>0.98811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7067ADC-7C36-410B-88BF-30A6947356F1}"/>
            </a:ext>
          </a:extLst>
        </cdr:cNvPr>
        <cdr:cNvSpPr txBox="1"/>
      </cdr:nvSpPr>
      <cdr:spPr>
        <a:xfrm xmlns:a="http://schemas.openxmlformats.org/drawingml/2006/main">
          <a:off x="228600" y="2497666"/>
          <a:ext cx="914400" cy="315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Margin ($/Mcf)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0.0346</cdr:x>
      <cdr:y>0.88689</cdr:y>
    </cdr:from>
    <cdr:to>
      <cdr:x>0.29239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025D2E-5B0A-4D29-90B5-3A9BA2A1B6FF}"/>
            </a:ext>
          </a:extLst>
        </cdr:cNvPr>
        <cdr:cNvSpPr txBox="1"/>
      </cdr:nvSpPr>
      <cdr:spPr>
        <a:xfrm xmlns:a="http://schemas.openxmlformats.org/drawingml/2006/main">
          <a:off x="169330" y="2540000"/>
          <a:ext cx="1261533" cy="323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Discount Rate 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0.0346</cdr:x>
      <cdr:y>0.88689</cdr:y>
    </cdr:from>
    <cdr:to>
      <cdr:x>0.29239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025D2E-5B0A-4D29-90B5-3A9BA2A1B6FF}"/>
            </a:ext>
          </a:extLst>
        </cdr:cNvPr>
        <cdr:cNvSpPr txBox="1"/>
      </cdr:nvSpPr>
      <cdr:spPr>
        <a:xfrm xmlns:a="http://schemas.openxmlformats.org/drawingml/2006/main">
          <a:off x="169330" y="2540000"/>
          <a:ext cx="1261533" cy="323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Discount Rate (%)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0.02593</cdr:x>
      <cdr:y>0.22531</cdr:y>
    </cdr:from>
    <cdr:to>
      <cdr:x>0.19815</cdr:x>
      <cdr:y>0.32407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55150F-414D-4B56-AAD8-3A69BA9B8226}"/>
            </a:ext>
          </a:extLst>
        </cdr:cNvPr>
        <cdr:cNvSpPr txBox="1"/>
      </cdr:nvSpPr>
      <cdr:spPr>
        <a:xfrm xmlns:a="http://schemas.openxmlformats.org/drawingml/2006/main">
          <a:off x="118533" y="618066"/>
          <a:ext cx="787402" cy="2709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Production</a:t>
          </a:r>
        </a:p>
      </cdr:txBody>
    </cdr:sp>
  </cdr:relSizeAnchor>
  <cdr:relSizeAnchor xmlns:cdr="http://schemas.openxmlformats.org/drawingml/2006/chartDrawing">
    <cdr:from>
      <cdr:x>0.03148</cdr:x>
      <cdr:y>0.43827</cdr:y>
    </cdr:from>
    <cdr:to>
      <cdr:x>0.2037</cdr:x>
      <cdr:y>0.53704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3E6424A-28B1-4FC2-8916-D73541D147FD}"/>
            </a:ext>
          </a:extLst>
        </cdr:cNvPr>
        <cdr:cNvSpPr txBox="1"/>
      </cdr:nvSpPr>
      <cdr:spPr>
        <a:xfrm xmlns:a="http://schemas.openxmlformats.org/drawingml/2006/main">
          <a:off x="143933" y="1202267"/>
          <a:ext cx="787402" cy="2709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Reserves</a:t>
          </a:r>
        </a:p>
      </cdr:txBody>
    </cdr:sp>
  </cdr:relSizeAnchor>
  <cdr:relSizeAnchor xmlns:cdr="http://schemas.openxmlformats.org/drawingml/2006/chartDrawing">
    <cdr:from>
      <cdr:x>0.02963</cdr:x>
      <cdr:y>0.65741</cdr:y>
    </cdr:from>
    <cdr:to>
      <cdr:x>0.20185</cdr:x>
      <cdr:y>0.75617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A66FB01-37C0-48CB-AB95-35169ECB5427}"/>
            </a:ext>
          </a:extLst>
        </cdr:cNvPr>
        <cdr:cNvSpPr txBox="1"/>
      </cdr:nvSpPr>
      <cdr:spPr>
        <a:xfrm xmlns:a="http://schemas.openxmlformats.org/drawingml/2006/main">
          <a:off x="135467" y="1803400"/>
          <a:ext cx="787402" cy="2709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Cash Flow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ICG">
      <a:dk1>
        <a:sysClr val="windowText" lastClr="000000"/>
      </a:dk1>
      <a:lt1>
        <a:sysClr val="window" lastClr="FFFFFF"/>
      </a:lt1>
      <a:dk2>
        <a:srgbClr val="CCF2FC"/>
      </a:dk2>
      <a:lt2>
        <a:srgbClr val="EAEBEB"/>
      </a:lt2>
      <a:accent1>
        <a:srgbClr val="002D72"/>
      </a:accent1>
      <a:accent2>
        <a:srgbClr val="00BDF2"/>
      </a:accent2>
      <a:accent3>
        <a:srgbClr val="53565A"/>
      </a:accent3>
      <a:accent4>
        <a:srgbClr val="97999B"/>
      </a:accent4>
      <a:accent5>
        <a:srgbClr val="CB6015"/>
      </a:accent5>
      <a:accent6>
        <a:srgbClr val="FFFFFF"/>
      </a:accent6>
      <a:hlink>
        <a:srgbClr val="00BDF2"/>
      </a:hlink>
      <a:folHlink>
        <a:srgbClr val="00BD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7A8C-5FEC-4A95-AC88-8E3A82DF8707}">
  <dimension ref="A1:AG90"/>
  <sheetViews>
    <sheetView tabSelected="1" zoomScaleNormal="100" workbookViewId="0">
      <selection activeCell="A6" sqref="A6"/>
    </sheetView>
  </sheetViews>
  <sheetFormatPr defaultRowHeight="15" x14ac:dyDescent="0.25"/>
  <cols>
    <col min="3" max="3" width="12.7109375" bestFit="1" customWidth="1"/>
    <col min="6" max="6" width="16.7109375" customWidth="1"/>
    <col min="11" max="11" width="18.5703125" customWidth="1"/>
    <col min="17" max="17" width="18.5703125" customWidth="1"/>
    <col min="26" max="26" width="14.7109375" customWidth="1"/>
    <col min="27" max="27" width="9.7109375" customWidth="1"/>
    <col min="28" max="28" width="13.42578125" customWidth="1"/>
    <col min="31" max="31" width="13.42578125" customWidth="1"/>
  </cols>
  <sheetData>
    <row r="1" spans="3:33" ht="20.25" x14ac:dyDescent="0.3">
      <c r="G1" s="6" t="s">
        <v>49</v>
      </c>
      <c r="H1" s="7"/>
      <c r="I1" s="7"/>
      <c r="J1" s="8"/>
      <c r="K1" s="9"/>
      <c r="L1" s="9"/>
      <c r="M1" s="9"/>
    </row>
    <row r="2" spans="3:33" x14ac:dyDescent="0.25">
      <c r="G2" s="10" t="s">
        <v>95</v>
      </c>
      <c r="H2" s="7"/>
      <c r="I2" s="7"/>
      <c r="J2" s="8"/>
      <c r="K2" s="9"/>
      <c r="L2" s="9"/>
      <c r="M2" s="9"/>
    </row>
    <row r="3" spans="3:33" x14ac:dyDescent="0.25">
      <c r="G3" s="10" t="s">
        <v>46</v>
      </c>
      <c r="H3" s="11"/>
      <c r="I3" s="11"/>
      <c r="J3" s="11"/>
      <c r="K3" s="11"/>
      <c r="L3" s="11"/>
      <c r="M3" s="11"/>
    </row>
    <row r="4" spans="3:33" x14ac:dyDescent="0.25">
      <c r="G4" s="26" t="s">
        <v>47</v>
      </c>
      <c r="H4" s="26"/>
      <c r="I4" s="11"/>
      <c r="J4" s="11"/>
      <c r="K4" s="11"/>
      <c r="L4" s="11"/>
      <c r="M4" s="11"/>
    </row>
    <row r="5" spans="3:33" x14ac:dyDescent="0.25">
      <c r="G5" s="12" t="s">
        <v>48</v>
      </c>
      <c r="H5" s="12"/>
      <c r="I5" s="11"/>
      <c r="J5" s="11"/>
      <c r="K5" s="11"/>
      <c r="L5" s="11"/>
      <c r="M5" s="11"/>
    </row>
    <row r="6" spans="3:33" ht="15.75" thickBot="1" x14ac:dyDescent="0.3"/>
    <row r="7" spans="3:33" ht="16.5" thickTop="1" thickBot="1" x14ac:dyDescent="0.3">
      <c r="Z7" s="13" t="s">
        <v>66</v>
      </c>
      <c r="AA7" s="54"/>
      <c r="AB7" s="54"/>
      <c r="AC7" s="54"/>
      <c r="AD7" s="54"/>
      <c r="AE7" s="54"/>
      <c r="AF7" s="54"/>
      <c r="AG7" s="55"/>
    </row>
    <row r="8" spans="3:33" ht="16.5" thickTop="1" thickBot="1" x14ac:dyDescent="0.3">
      <c r="C8" s="13" t="s">
        <v>56</v>
      </c>
      <c r="D8" s="14"/>
      <c r="E8" s="14"/>
      <c r="F8" s="15"/>
      <c r="N8" s="13" t="s">
        <v>57</v>
      </c>
      <c r="O8" s="14"/>
      <c r="P8" s="14"/>
      <c r="Q8" s="15"/>
      <c r="Z8" s="91" t="s">
        <v>3</v>
      </c>
      <c r="AA8" s="92"/>
      <c r="AB8" s="92"/>
      <c r="AC8" s="93" t="s">
        <v>1</v>
      </c>
      <c r="AD8" s="92"/>
      <c r="AE8" s="92"/>
      <c r="AF8" s="93" t="s">
        <v>5</v>
      </c>
      <c r="AG8" s="94"/>
    </row>
    <row r="9" spans="3:33" x14ac:dyDescent="0.25">
      <c r="C9" s="83">
        <v>10000</v>
      </c>
      <c r="D9" s="32" t="s">
        <v>24</v>
      </c>
      <c r="E9" s="32"/>
      <c r="F9" s="33"/>
      <c r="N9" s="83">
        <v>10000</v>
      </c>
      <c r="O9" s="32" t="s">
        <v>28</v>
      </c>
      <c r="P9" s="32"/>
      <c r="Q9" s="33"/>
      <c r="Z9" s="61" t="s">
        <v>79</v>
      </c>
      <c r="AA9" s="62" t="s">
        <v>61</v>
      </c>
      <c r="AB9" s="62" t="s">
        <v>72</v>
      </c>
      <c r="AC9" s="63" t="s">
        <v>2</v>
      </c>
      <c r="AD9" s="62" t="s">
        <v>4</v>
      </c>
      <c r="AE9" s="62" t="s">
        <v>72</v>
      </c>
      <c r="AF9" s="63" t="s">
        <v>2</v>
      </c>
      <c r="AG9" s="64" t="s">
        <v>4</v>
      </c>
    </row>
    <row r="10" spans="3:33" x14ac:dyDescent="0.25">
      <c r="C10" s="83">
        <v>36500</v>
      </c>
      <c r="D10" s="32" t="s">
        <v>25</v>
      </c>
      <c r="E10" s="32"/>
      <c r="F10" s="33"/>
      <c r="N10" s="83">
        <v>36500</v>
      </c>
      <c r="O10" s="32" t="s">
        <v>29</v>
      </c>
      <c r="P10" s="32"/>
      <c r="Q10" s="33"/>
      <c r="Z10" s="56" t="s">
        <v>8</v>
      </c>
      <c r="AA10" s="58">
        <f>C9</f>
        <v>10000</v>
      </c>
      <c r="AB10" s="57" t="s">
        <v>73</v>
      </c>
      <c r="AC10" s="59">
        <f>C39</f>
        <v>30</v>
      </c>
      <c r="AD10" s="32">
        <f>C40</f>
        <v>50</v>
      </c>
      <c r="AE10" s="57" t="s">
        <v>70</v>
      </c>
      <c r="AF10" s="75">
        <f>AA10*AC10/1000</f>
        <v>300</v>
      </c>
      <c r="AG10" s="76">
        <f>AA10*AD10/1000</f>
        <v>500</v>
      </c>
    </row>
    <row r="11" spans="3:33" x14ac:dyDescent="0.25">
      <c r="C11" s="83">
        <v>73000</v>
      </c>
      <c r="D11" s="32" t="s">
        <v>31</v>
      </c>
      <c r="E11" s="32"/>
      <c r="F11" s="33"/>
      <c r="N11" s="83">
        <v>1450</v>
      </c>
      <c r="O11" s="32" t="s">
        <v>32</v>
      </c>
      <c r="P11" s="32"/>
      <c r="Q11" s="33"/>
      <c r="Z11" s="56" t="s">
        <v>65</v>
      </c>
      <c r="AA11" s="58">
        <f t="shared" ref="AA11:AA12" si="0">C10</f>
        <v>36500</v>
      </c>
      <c r="AB11" s="57" t="s">
        <v>74</v>
      </c>
      <c r="AC11" s="59">
        <f>C41</f>
        <v>8</v>
      </c>
      <c r="AD11" s="32">
        <f>C42</f>
        <v>14</v>
      </c>
      <c r="AE11" s="57" t="s">
        <v>68</v>
      </c>
      <c r="AF11" s="75">
        <f>AA11*AC11/1000</f>
        <v>292</v>
      </c>
      <c r="AG11" s="76">
        <f>AA11*AD11/1000</f>
        <v>511</v>
      </c>
    </row>
    <row r="12" spans="3:33" x14ac:dyDescent="0.25">
      <c r="C12" s="16">
        <f>C10*1000/(C9*365)</f>
        <v>10</v>
      </c>
      <c r="D12" s="32" t="s">
        <v>26</v>
      </c>
      <c r="E12" s="32"/>
      <c r="F12" s="33"/>
      <c r="G12" s="3"/>
      <c r="N12" s="16">
        <f>N10*1000/(N9*365)</f>
        <v>10</v>
      </c>
      <c r="O12" s="32" t="s">
        <v>26</v>
      </c>
      <c r="P12" s="32"/>
      <c r="Q12" s="33"/>
      <c r="Z12" s="66" t="s">
        <v>78</v>
      </c>
      <c r="AA12" s="67">
        <f t="shared" si="0"/>
        <v>73000</v>
      </c>
      <c r="AB12" s="68" t="s">
        <v>75</v>
      </c>
      <c r="AC12" s="69">
        <f>C43</f>
        <v>5</v>
      </c>
      <c r="AD12" s="34">
        <f>C44</f>
        <v>6.5</v>
      </c>
      <c r="AE12" s="68" t="s">
        <v>71</v>
      </c>
      <c r="AF12" s="77">
        <f>AA12*AC12/1000</f>
        <v>365</v>
      </c>
      <c r="AG12" s="78">
        <f>AA12*AD12/1000</f>
        <v>474.5</v>
      </c>
    </row>
    <row r="13" spans="3:33" x14ac:dyDescent="0.25">
      <c r="C13" s="27">
        <f>C11*1000/(C9*365)</f>
        <v>20</v>
      </c>
      <c r="D13" s="34" t="s">
        <v>27</v>
      </c>
      <c r="E13" s="34"/>
      <c r="F13" s="35"/>
      <c r="G13" s="3"/>
      <c r="N13" s="27">
        <f>N11*1000/(N9*365)</f>
        <v>0.39726027397260272</v>
      </c>
      <c r="O13" s="34" t="s">
        <v>30</v>
      </c>
      <c r="P13" s="34"/>
      <c r="Q13" s="35"/>
      <c r="Z13" s="56" t="s">
        <v>6</v>
      </c>
      <c r="AA13" s="58">
        <f>N9</f>
        <v>10000</v>
      </c>
      <c r="AB13" s="57" t="s">
        <v>76</v>
      </c>
      <c r="AC13" s="60">
        <f>N39</f>
        <v>600</v>
      </c>
      <c r="AD13" s="58">
        <f>N40</f>
        <v>1050</v>
      </c>
      <c r="AE13" s="57" t="s">
        <v>67</v>
      </c>
      <c r="AF13" s="75">
        <f>AA13*AC13/1000000</f>
        <v>6</v>
      </c>
      <c r="AG13" s="76">
        <f>AA13*AD13/1000000</f>
        <v>10.5</v>
      </c>
    </row>
    <row r="14" spans="3:33" x14ac:dyDescent="0.25">
      <c r="C14" s="17" t="s">
        <v>35</v>
      </c>
      <c r="D14" s="18"/>
      <c r="E14" s="18"/>
      <c r="F14" s="19"/>
      <c r="G14" s="3"/>
      <c r="N14" s="17" t="s">
        <v>36</v>
      </c>
      <c r="O14" s="18"/>
      <c r="P14" s="18"/>
      <c r="Q14" s="19"/>
      <c r="Z14" s="56" t="s">
        <v>9</v>
      </c>
      <c r="AA14" s="58">
        <f t="shared" ref="AA14:AA15" si="1">N10</f>
        <v>36500</v>
      </c>
      <c r="AB14" s="57" t="s">
        <v>77</v>
      </c>
      <c r="AC14" s="59">
        <f>N41</f>
        <v>0.15</v>
      </c>
      <c r="AD14" s="32">
        <f>N42</f>
        <v>0.3</v>
      </c>
      <c r="AE14" s="57" t="s">
        <v>69</v>
      </c>
      <c r="AF14" s="75">
        <f>AA14*AC14/1000</f>
        <v>5.4749999999999996</v>
      </c>
      <c r="AG14" s="76">
        <f>AA14*AD14/1000</f>
        <v>10.95</v>
      </c>
    </row>
    <row r="15" spans="3:33" x14ac:dyDescent="0.25">
      <c r="C15" s="84">
        <v>10</v>
      </c>
      <c r="D15" s="32" t="s">
        <v>15</v>
      </c>
      <c r="E15" s="32"/>
      <c r="F15" s="33"/>
      <c r="N15" s="84">
        <v>10</v>
      </c>
      <c r="O15" s="32" t="s">
        <v>15</v>
      </c>
      <c r="P15" s="32"/>
      <c r="Q15" s="33"/>
      <c r="Z15" s="66" t="s">
        <v>10</v>
      </c>
      <c r="AA15" s="67">
        <f t="shared" si="1"/>
        <v>1450</v>
      </c>
      <c r="AB15" s="68" t="s">
        <v>75</v>
      </c>
      <c r="AC15" s="69">
        <f>N43</f>
        <v>5</v>
      </c>
      <c r="AD15" s="34">
        <f>N44</f>
        <v>6.5</v>
      </c>
      <c r="AE15" s="68" t="s">
        <v>71</v>
      </c>
      <c r="AF15" s="77">
        <f>AA15*AC15/1000</f>
        <v>7.25</v>
      </c>
      <c r="AG15" s="78">
        <f>AA15*AD15/1000</f>
        <v>9.4250000000000007</v>
      </c>
    </row>
    <row r="16" spans="3:33" x14ac:dyDescent="0.25">
      <c r="C16" s="84">
        <v>10</v>
      </c>
      <c r="D16" s="32" t="s">
        <v>11</v>
      </c>
      <c r="E16" s="32"/>
      <c r="F16" s="33"/>
      <c r="N16" s="84">
        <v>10</v>
      </c>
      <c r="O16" s="32" t="s">
        <v>11</v>
      </c>
      <c r="P16" s="32"/>
      <c r="Q16" s="33"/>
      <c r="Z16" s="70" t="s">
        <v>92</v>
      </c>
      <c r="AA16" s="71"/>
      <c r="AB16" s="71"/>
      <c r="AC16" s="71"/>
      <c r="AD16" s="71"/>
      <c r="AE16" s="71"/>
      <c r="AF16" s="79">
        <f>AF10+AF13</f>
        <v>306</v>
      </c>
      <c r="AG16" s="80">
        <f>AG10+AG13</f>
        <v>510.5</v>
      </c>
    </row>
    <row r="17" spans="3:33" x14ac:dyDescent="0.25">
      <c r="C17" s="84">
        <v>20</v>
      </c>
      <c r="D17" s="32" t="s">
        <v>33</v>
      </c>
      <c r="E17" s="32"/>
      <c r="F17" s="33"/>
      <c r="N17" s="84">
        <v>0.4</v>
      </c>
      <c r="O17" s="32" t="s">
        <v>34</v>
      </c>
      <c r="P17" s="32"/>
      <c r="Q17" s="33"/>
      <c r="Z17" s="65" t="s">
        <v>93</v>
      </c>
      <c r="AA17" s="72"/>
      <c r="AB17" s="72"/>
      <c r="AC17" s="72"/>
      <c r="AD17" s="72"/>
      <c r="AE17" s="72"/>
      <c r="AF17" s="75">
        <f t="shared" ref="AF17:AG18" si="2">AF11+AF14</f>
        <v>297.47500000000002</v>
      </c>
      <c r="AG17" s="76">
        <f t="shared" si="2"/>
        <v>521.95000000000005</v>
      </c>
    </row>
    <row r="18" spans="3:33" ht="15.75" thickBot="1" x14ac:dyDescent="0.3">
      <c r="C18" s="20">
        <f>LN(C16)</f>
        <v>2.3025850929940459</v>
      </c>
      <c r="D18" s="32" t="s">
        <v>12</v>
      </c>
      <c r="E18" s="32"/>
      <c r="F18" s="33"/>
      <c r="N18" s="20">
        <f>LN(N16)</f>
        <v>2.3025850929940459</v>
      </c>
      <c r="O18" s="32" t="s">
        <v>12</v>
      </c>
      <c r="P18" s="32"/>
      <c r="Q18" s="33"/>
      <c r="Z18" s="73" t="s">
        <v>94</v>
      </c>
      <c r="AA18" s="74"/>
      <c r="AB18" s="74"/>
      <c r="AC18" s="74"/>
      <c r="AD18" s="74"/>
      <c r="AE18" s="74"/>
      <c r="AF18" s="81">
        <f t="shared" si="2"/>
        <v>372.25</v>
      </c>
      <c r="AG18" s="82">
        <f t="shared" si="2"/>
        <v>483.92500000000001</v>
      </c>
    </row>
    <row r="19" spans="3:33" ht="15.75" thickTop="1" x14ac:dyDescent="0.25">
      <c r="C19" s="28">
        <f>IF(C15&gt;10,-0.11944-0.10581*C18-0.03853*C18^2+0.00818*C18^3,-0.08817-0.02934*C18-0.08313*C18^2+0.007425*C18^3)</f>
        <v>-0.50582970526584026</v>
      </c>
      <c r="D19" s="34" t="s">
        <v>17</v>
      </c>
      <c r="E19" s="34"/>
      <c r="F19" s="35"/>
      <c r="N19" s="28">
        <f>IF(N15&gt;10,-0.11944-0.10581*N18-0.03853*N18^2+0.00818*N18^3,-0.08817-0.02934*N18-0.08313*N18^2+0.007425*N18^3)</f>
        <v>-0.50582970526584026</v>
      </c>
      <c r="O19" s="34" t="s">
        <v>17</v>
      </c>
      <c r="P19" s="34"/>
      <c r="Q19" s="35"/>
    </row>
    <row r="20" spans="3:33" x14ac:dyDescent="0.25">
      <c r="C20" s="17" t="s">
        <v>37</v>
      </c>
      <c r="D20" s="18"/>
      <c r="E20" s="18"/>
      <c r="F20" s="19"/>
      <c r="N20" s="17" t="s">
        <v>38</v>
      </c>
      <c r="O20" s="18"/>
      <c r="P20" s="18"/>
      <c r="Q20" s="19"/>
    </row>
    <row r="21" spans="3:33" ht="18" x14ac:dyDescent="0.35">
      <c r="C21" s="21">
        <f>105.263*C17</f>
        <v>2105.2600000000002</v>
      </c>
      <c r="D21" s="32" t="s">
        <v>13</v>
      </c>
      <c r="E21" s="32"/>
      <c r="F21" s="33"/>
      <c r="N21" s="22">
        <f>2.5*N17</f>
        <v>1</v>
      </c>
      <c r="O21" s="32" t="s">
        <v>13</v>
      </c>
      <c r="P21" s="32"/>
      <c r="Q21" s="33"/>
    </row>
    <row r="22" spans="3:33" ht="18" x14ac:dyDescent="0.35">
      <c r="C22" s="22">
        <f>EXP(1.307+0.87*C18+0.00803*C18^2-0.0459*C18^3+0.00596*C18^4)</f>
        <v>19.298147848653265</v>
      </c>
      <c r="D22" s="32" t="s">
        <v>14</v>
      </c>
      <c r="E22" s="32"/>
      <c r="F22" s="33"/>
      <c r="N22" s="21">
        <f>EXP(5.025+0.966*N18-0.105*N18^2)</f>
        <v>806.41451606843646</v>
      </c>
      <c r="O22" s="32" t="s">
        <v>14</v>
      </c>
      <c r="P22" s="32"/>
      <c r="Q22" s="33"/>
    </row>
    <row r="23" spans="3:33" ht="18" x14ac:dyDescent="0.35">
      <c r="C23" s="22">
        <f>1+C19*LN(C15/10)</f>
        <v>1</v>
      </c>
      <c r="D23" s="32" t="s">
        <v>16</v>
      </c>
      <c r="E23" s="32"/>
      <c r="F23" s="33"/>
      <c r="N23" s="22">
        <f>1+N19*LN(N15/10)</f>
        <v>1</v>
      </c>
      <c r="O23" s="32" t="s">
        <v>16</v>
      </c>
      <c r="P23" s="32"/>
      <c r="Q23" s="33"/>
    </row>
    <row r="24" spans="3:33" ht="18" x14ac:dyDescent="0.35">
      <c r="C24" s="29">
        <f>C21*C22*C23</f>
        <v>40627.618739855774</v>
      </c>
      <c r="D24" s="34" t="s">
        <v>19</v>
      </c>
      <c r="E24" s="34"/>
      <c r="F24" s="35"/>
      <c r="N24" s="29">
        <f>N21*N22*N23</f>
        <v>806.41451606843646</v>
      </c>
      <c r="O24" s="34" t="s">
        <v>20</v>
      </c>
      <c r="P24" s="34"/>
      <c r="Q24" s="35"/>
    </row>
    <row r="25" spans="3:33" x14ac:dyDescent="0.25">
      <c r="C25" s="17" t="s">
        <v>39</v>
      </c>
      <c r="D25" s="18"/>
      <c r="E25" s="18"/>
      <c r="F25" s="19"/>
      <c r="N25" s="17" t="s">
        <v>40</v>
      </c>
      <c r="O25" s="18"/>
      <c r="P25" s="18"/>
      <c r="Q25" s="19"/>
    </row>
    <row r="26" spans="3:33" ht="18" x14ac:dyDescent="0.35">
      <c r="C26" s="20">
        <f>0.105263*C17</f>
        <v>2.1052599999999999</v>
      </c>
      <c r="D26" s="32" t="s">
        <v>13</v>
      </c>
      <c r="E26" s="32"/>
      <c r="F26" s="33"/>
      <c r="N26" s="20">
        <f>2.5*N17</f>
        <v>1</v>
      </c>
      <c r="O26" s="32" t="s">
        <v>13</v>
      </c>
      <c r="P26" s="32"/>
      <c r="Q26" s="33"/>
    </row>
    <row r="27" spans="3:33" ht="18" x14ac:dyDescent="0.35">
      <c r="C27" s="20">
        <f>EXP(2.297-0.031*C18-0.106*C18^2)</f>
        <v>5.2783769910521618</v>
      </c>
      <c r="D27" s="32" t="s">
        <v>14</v>
      </c>
      <c r="E27" s="32"/>
      <c r="F27" s="33"/>
      <c r="N27" s="25">
        <f>EXP(-0.875-0.0337*N18-0.105*N18^2)</f>
        <v>0.2210654606617643</v>
      </c>
      <c r="O27" s="32" t="s">
        <v>14</v>
      </c>
      <c r="P27" s="32"/>
      <c r="Q27" s="33"/>
    </row>
    <row r="28" spans="3:33" ht="18" x14ac:dyDescent="0.35">
      <c r="C28" s="22">
        <f>1+C19*LN(C15/10)</f>
        <v>1</v>
      </c>
      <c r="D28" s="32" t="s">
        <v>16</v>
      </c>
      <c r="E28" s="32"/>
      <c r="F28" s="33"/>
      <c r="N28" s="22">
        <f>1+N19*LN(N15/10)</f>
        <v>1</v>
      </c>
      <c r="O28" s="32" t="s">
        <v>16</v>
      </c>
      <c r="P28" s="32"/>
      <c r="Q28" s="33"/>
    </row>
    <row r="29" spans="3:33" ht="18" x14ac:dyDescent="0.35">
      <c r="C29" s="30">
        <f>C26*C27*C28</f>
        <v>11.112355944182474</v>
      </c>
      <c r="D29" s="34" t="s">
        <v>22</v>
      </c>
      <c r="E29" s="34"/>
      <c r="F29" s="35"/>
      <c r="N29" s="30">
        <f>N26*N27*N28</f>
        <v>0.2210654606617643</v>
      </c>
      <c r="O29" s="34" t="s">
        <v>41</v>
      </c>
      <c r="P29" s="34"/>
      <c r="Q29" s="35"/>
    </row>
    <row r="30" spans="3:33" x14ac:dyDescent="0.25">
      <c r="C30" s="17" t="s">
        <v>42</v>
      </c>
      <c r="D30" s="18"/>
      <c r="E30" s="18"/>
      <c r="F30" s="19"/>
      <c r="N30" s="17" t="s">
        <v>43</v>
      </c>
      <c r="O30" s="18"/>
      <c r="P30" s="18"/>
      <c r="Q30" s="19"/>
    </row>
    <row r="31" spans="3:33" ht="18" x14ac:dyDescent="0.35">
      <c r="C31" s="20">
        <f>1.336+1.474*C18+0.173*C18^2</f>
        <v>5.6472388001859866</v>
      </c>
      <c r="D31" s="32" t="s">
        <v>14</v>
      </c>
      <c r="E31" s="32"/>
      <c r="F31" s="33"/>
      <c r="N31" s="20">
        <f>1.336+1.474*N18+0.173*N18^2</f>
        <v>5.6472388001859866</v>
      </c>
      <c r="O31" s="32" t="s">
        <v>14</v>
      </c>
      <c r="P31" s="32"/>
      <c r="Q31" s="33"/>
    </row>
    <row r="32" spans="3:33" ht="18" x14ac:dyDescent="0.35">
      <c r="C32" s="20">
        <f>1+C19*LN(C15/10)</f>
        <v>1</v>
      </c>
      <c r="D32" s="32" t="s">
        <v>16</v>
      </c>
      <c r="E32" s="32"/>
      <c r="F32" s="33"/>
      <c r="N32" s="20">
        <f>1+N19*LN(N15/10)</f>
        <v>1</v>
      </c>
      <c r="O32" s="32" t="s">
        <v>16</v>
      </c>
      <c r="P32" s="32"/>
      <c r="Q32" s="33"/>
    </row>
    <row r="33" spans="3:17" ht="18" x14ac:dyDescent="0.35">
      <c r="C33" s="31">
        <f>C31*C32</f>
        <v>5.6472388001859866</v>
      </c>
      <c r="D33" s="34" t="s">
        <v>23</v>
      </c>
      <c r="E33" s="34"/>
      <c r="F33" s="35"/>
      <c r="N33" s="31">
        <f>N31*N32</f>
        <v>5.6472388001859866</v>
      </c>
      <c r="O33" s="34" t="s">
        <v>23</v>
      </c>
      <c r="P33" s="34"/>
      <c r="Q33" s="35"/>
    </row>
    <row r="34" spans="3:17" x14ac:dyDescent="0.25">
      <c r="C34" s="17" t="s">
        <v>44</v>
      </c>
      <c r="D34" s="18"/>
      <c r="E34" s="18"/>
      <c r="F34" s="19"/>
      <c r="N34" s="17" t="s">
        <v>45</v>
      </c>
      <c r="O34" s="18"/>
      <c r="P34" s="18"/>
      <c r="Q34" s="19"/>
    </row>
    <row r="35" spans="3:17" x14ac:dyDescent="0.25">
      <c r="C35" s="23">
        <f>C9*C24/1000</f>
        <v>406276.18739855773</v>
      </c>
      <c r="D35" s="32" t="s">
        <v>50</v>
      </c>
      <c r="E35" s="32"/>
      <c r="F35" s="33"/>
      <c r="N35" s="23">
        <f>N9*N24/1000</f>
        <v>8064.1451606843648</v>
      </c>
      <c r="O35" s="32" t="s">
        <v>53</v>
      </c>
      <c r="P35" s="32"/>
      <c r="Q35" s="33"/>
    </row>
    <row r="36" spans="3:17" x14ac:dyDescent="0.25">
      <c r="C36" s="23">
        <f>C10*C29</f>
        <v>405600.99196266028</v>
      </c>
      <c r="D36" s="32" t="s">
        <v>51</v>
      </c>
      <c r="E36" s="32"/>
      <c r="F36" s="33"/>
      <c r="N36" s="23">
        <f>N10*N29</f>
        <v>8068.8893141543967</v>
      </c>
      <c r="O36" s="32" t="s">
        <v>54</v>
      </c>
      <c r="P36" s="32"/>
      <c r="Q36" s="33"/>
    </row>
    <row r="37" spans="3:17" ht="15.75" thickBot="1" x14ac:dyDescent="0.3">
      <c r="C37" s="29">
        <f>C11*C33</f>
        <v>412248.43241357704</v>
      </c>
      <c r="D37" s="34" t="s">
        <v>52</v>
      </c>
      <c r="E37" s="34"/>
      <c r="F37" s="35"/>
      <c r="N37" s="24">
        <f>N11*N33</f>
        <v>8188.4962602696805</v>
      </c>
      <c r="O37" s="36" t="s">
        <v>55</v>
      </c>
      <c r="P37" s="36"/>
      <c r="Q37" s="37"/>
    </row>
    <row r="38" spans="3:17" ht="15.75" thickTop="1" x14ac:dyDescent="0.25">
      <c r="C38" s="43" t="s">
        <v>85</v>
      </c>
      <c r="D38" s="42"/>
      <c r="E38" s="42"/>
      <c r="F38" s="47"/>
      <c r="N38" s="43" t="s">
        <v>85</v>
      </c>
      <c r="O38" s="42"/>
      <c r="P38" s="42"/>
      <c r="Q38" s="47"/>
    </row>
    <row r="39" spans="3:17" x14ac:dyDescent="0.25">
      <c r="C39" s="44">
        <v>30</v>
      </c>
      <c r="D39" s="32" t="s">
        <v>86</v>
      </c>
      <c r="E39" s="32"/>
      <c r="F39" s="33"/>
      <c r="N39" s="44">
        <v>600</v>
      </c>
      <c r="O39" s="32" t="s">
        <v>86</v>
      </c>
      <c r="P39" s="32"/>
      <c r="Q39" s="33"/>
    </row>
    <row r="40" spans="3:17" x14ac:dyDescent="0.25">
      <c r="C40" s="45">
        <v>50</v>
      </c>
      <c r="D40" s="34" t="s">
        <v>87</v>
      </c>
      <c r="E40" s="34"/>
      <c r="F40" s="35"/>
      <c r="N40" s="45">
        <v>1050</v>
      </c>
      <c r="O40" s="34" t="s">
        <v>87</v>
      </c>
      <c r="P40" s="34"/>
      <c r="Q40" s="35"/>
    </row>
    <row r="41" spans="3:17" x14ac:dyDescent="0.25">
      <c r="C41" s="44">
        <v>8</v>
      </c>
      <c r="D41" s="32" t="s">
        <v>88</v>
      </c>
      <c r="E41" s="32"/>
      <c r="F41" s="33"/>
      <c r="N41" s="44">
        <v>0.15</v>
      </c>
      <c r="O41" s="32" t="s">
        <v>88</v>
      </c>
      <c r="P41" s="32"/>
      <c r="Q41" s="33"/>
    </row>
    <row r="42" spans="3:17" x14ac:dyDescent="0.25">
      <c r="C42" s="45">
        <v>14</v>
      </c>
      <c r="D42" s="34" t="s">
        <v>89</v>
      </c>
      <c r="E42" s="34"/>
      <c r="F42" s="35"/>
      <c r="N42" s="45">
        <v>0.3</v>
      </c>
      <c r="O42" s="34" t="s">
        <v>89</v>
      </c>
      <c r="P42" s="34"/>
      <c r="Q42" s="35"/>
    </row>
    <row r="43" spans="3:17" x14ac:dyDescent="0.25">
      <c r="C43" s="44">
        <v>5</v>
      </c>
      <c r="D43" s="32" t="s">
        <v>90</v>
      </c>
      <c r="E43" s="32"/>
      <c r="F43" s="33"/>
      <c r="N43" s="44">
        <v>5</v>
      </c>
      <c r="O43" s="32" t="s">
        <v>90</v>
      </c>
      <c r="P43" s="32"/>
      <c r="Q43" s="33"/>
    </row>
    <row r="44" spans="3:17" ht="15.75" thickBot="1" x14ac:dyDescent="0.3">
      <c r="C44" s="46">
        <v>6.5</v>
      </c>
      <c r="D44" s="36" t="s">
        <v>91</v>
      </c>
      <c r="E44" s="36"/>
      <c r="F44" s="37"/>
      <c r="N44" s="46">
        <v>6.5</v>
      </c>
      <c r="O44" s="36" t="s">
        <v>91</v>
      </c>
      <c r="P44" s="36"/>
      <c r="Q44" s="37"/>
    </row>
    <row r="45" spans="3:17" ht="15.75" thickTop="1" x14ac:dyDescent="0.25"/>
    <row r="54" spans="1:25" x14ac:dyDescent="0.25">
      <c r="G54" s="48" t="s">
        <v>84</v>
      </c>
      <c r="H54" s="49"/>
      <c r="I54" s="50"/>
      <c r="J54" s="50"/>
      <c r="K54" s="50"/>
      <c r="L54" s="50"/>
      <c r="M54" s="50"/>
      <c r="N54" s="50"/>
      <c r="O54" s="50"/>
      <c r="P54" s="50"/>
      <c r="Q54" s="50"/>
      <c r="R54" s="49"/>
      <c r="S54" s="49"/>
      <c r="T54" s="48" t="s">
        <v>64</v>
      </c>
      <c r="U54" s="50"/>
      <c r="V54" s="50"/>
      <c r="W54" s="50"/>
      <c r="X54" s="50"/>
    </row>
    <row r="55" spans="1:25" x14ac:dyDescent="0.25">
      <c r="G55" s="49" t="s">
        <v>0</v>
      </c>
      <c r="H55" s="50"/>
      <c r="I55" s="48" t="s">
        <v>62</v>
      </c>
      <c r="J55" s="50"/>
      <c r="K55" s="49" t="s">
        <v>63</v>
      </c>
      <c r="L55" s="50"/>
      <c r="M55" s="49" t="s">
        <v>83</v>
      </c>
      <c r="N55" s="50"/>
      <c r="O55" s="50"/>
      <c r="P55" s="50"/>
      <c r="Q55" s="50"/>
      <c r="R55" s="49" t="s">
        <v>0</v>
      </c>
      <c r="S55" s="49"/>
      <c r="T55" s="49" t="s">
        <v>62</v>
      </c>
      <c r="U55" s="50"/>
      <c r="V55" s="49" t="s">
        <v>63</v>
      </c>
      <c r="W55" s="50"/>
      <c r="X55" s="50"/>
      <c r="Y55" s="85"/>
    </row>
    <row r="56" spans="1:25" x14ac:dyDescent="0.25">
      <c r="G56" s="51">
        <f>C16</f>
        <v>10</v>
      </c>
      <c r="H56" s="50"/>
      <c r="I56" s="86">
        <f>C24/1000</f>
        <v>40.627618739855777</v>
      </c>
      <c r="J56" s="50"/>
      <c r="K56" s="87">
        <f>C29</f>
        <v>11.112355944182474</v>
      </c>
      <c r="L56" s="50"/>
      <c r="M56" s="51">
        <f>C33</f>
        <v>5.6472388001859866</v>
      </c>
      <c r="N56" s="50"/>
      <c r="O56" s="50"/>
      <c r="P56" s="50"/>
      <c r="Q56" s="50"/>
      <c r="R56" s="51">
        <f>N16</f>
        <v>10</v>
      </c>
      <c r="S56" s="49"/>
      <c r="T56" s="86">
        <f>N24</f>
        <v>806.41451606843646</v>
      </c>
      <c r="U56" s="49"/>
      <c r="V56" s="87">
        <f>N29</f>
        <v>0.2210654606617643</v>
      </c>
      <c r="W56" s="49"/>
      <c r="X56" s="51">
        <f>N33</f>
        <v>5.6472388001859866</v>
      </c>
      <c r="Y56" s="85"/>
    </row>
    <row r="57" spans="1:25" x14ac:dyDescent="0.25">
      <c r="G57" s="51">
        <f>C16</f>
        <v>10</v>
      </c>
      <c r="H57" s="49">
        <v>0</v>
      </c>
      <c r="I57" s="52">
        <f>C39</f>
        <v>30</v>
      </c>
      <c r="J57" s="52">
        <v>0</v>
      </c>
      <c r="K57" s="52">
        <f>C41</f>
        <v>8</v>
      </c>
      <c r="L57" s="52">
        <v>0</v>
      </c>
      <c r="M57" s="52">
        <f>C43</f>
        <v>5</v>
      </c>
      <c r="N57" s="53"/>
      <c r="O57" s="53"/>
      <c r="P57" s="53"/>
      <c r="Q57" s="53"/>
      <c r="R57" s="88">
        <f>N16</f>
        <v>10</v>
      </c>
      <c r="S57" s="52">
        <v>0</v>
      </c>
      <c r="T57" s="52">
        <f>N39</f>
        <v>600</v>
      </c>
      <c r="U57" s="52">
        <v>0</v>
      </c>
      <c r="V57" s="52">
        <f>N41</f>
        <v>0.15</v>
      </c>
      <c r="W57" s="52">
        <v>0</v>
      </c>
      <c r="X57" s="52">
        <f>N43</f>
        <v>5</v>
      </c>
      <c r="Y57" s="85"/>
    </row>
    <row r="58" spans="1:25" x14ac:dyDescent="0.25">
      <c r="G58" s="51">
        <f>C16</f>
        <v>10</v>
      </c>
      <c r="H58" s="49">
        <f>E61</f>
        <v>158.00216821540943</v>
      </c>
      <c r="I58" s="52">
        <f>C40</f>
        <v>50</v>
      </c>
      <c r="J58" s="52">
        <f>E79</f>
        <v>51.817032747795189</v>
      </c>
      <c r="K58" s="52">
        <f>C42</f>
        <v>14</v>
      </c>
      <c r="L58" s="53">
        <f>E83</f>
        <v>13.065490361459112</v>
      </c>
      <c r="M58" s="52">
        <f>C44</f>
        <v>6.5</v>
      </c>
      <c r="N58" s="53"/>
      <c r="O58" s="53"/>
      <c r="P58" s="53"/>
      <c r="Q58" s="53"/>
      <c r="R58" s="88">
        <f>N16</f>
        <v>10</v>
      </c>
      <c r="S58" s="89">
        <f>O61</f>
        <v>3946.6926200909311</v>
      </c>
      <c r="T58" s="52">
        <f>N40</f>
        <v>1050</v>
      </c>
      <c r="U58" s="90">
        <f>O79</f>
        <v>1.2890907032903611</v>
      </c>
      <c r="V58" s="52">
        <f>N42</f>
        <v>0.3</v>
      </c>
      <c r="W58" s="52">
        <f>E83</f>
        <v>13.065490361459112</v>
      </c>
      <c r="X58" s="52">
        <f>N44</f>
        <v>6.5</v>
      </c>
      <c r="Y58" s="85"/>
    </row>
    <row r="59" spans="1:25" x14ac:dyDescent="0.25">
      <c r="C59" t="s">
        <v>18</v>
      </c>
      <c r="N59" t="s">
        <v>21</v>
      </c>
      <c r="R59" s="85"/>
      <c r="S59" s="85"/>
      <c r="T59" s="85"/>
      <c r="U59" s="85"/>
      <c r="V59" s="85"/>
      <c r="W59" s="85"/>
      <c r="X59" s="85"/>
      <c r="Y59" s="85"/>
    </row>
    <row r="60" spans="1:25" x14ac:dyDescent="0.25">
      <c r="A60" s="2" t="s">
        <v>7</v>
      </c>
      <c r="B60" t="s">
        <v>12</v>
      </c>
      <c r="C60" t="s">
        <v>58</v>
      </c>
      <c r="D60" s="40">
        <v>60</v>
      </c>
      <c r="E60" s="40">
        <v>50</v>
      </c>
      <c r="F60" s="40">
        <v>40</v>
      </c>
      <c r="G60" s="40">
        <v>30</v>
      </c>
      <c r="H60" s="40">
        <v>20</v>
      </c>
      <c r="I60" s="40">
        <v>10</v>
      </c>
      <c r="K60" s="2" t="s">
        <v>7</v>
      </c>
      <c r="L60" t="s">
        <v>12</v>
      </c>
      <c r="M60" t="s">
        <v>58</v>
      </c>
      <c r="N60" s="5">
        <v>1.5</v>
      </c>
      <c r="O60" s="5">
        <v>1.25</v>
      </c>
      <c r="P60" s="5">
        <v>1</v>
      </c>
      <c r="Q60" s="5">
        <v>0.75</v>
      </c>
      <c r="R60" s="5">
        <v>0.5</v>
      </c>
      <c r="S60" s="5">
        <v>0.25</v>
      </c>
    </row>
    <row r="61" spans="1:25" x14ac:dyDescent="0.25">
      <c r="A61" s="4">
        <f>IF(C$15&gt;10,-0.11944-0.10581*B61-0.03853*B61^2+0.00818*B61^3,-0.08817-0.02934*B61-0.08313*B61^2+0.007425*B61^3)</f>
        <v>-0.92376853333447717</v>
      </c>
      <c r="B61" s="4">
        <f>LN(C61)</f>
        <v>3.5971417637878504</v>
      </c>
      <c r="C61" s="5">
        <v>36.493777397260274</v>
      </c>
      <c r="D61" s="41">
        <f t="shared" ref="D61:I68" si="3">(105.263*D$60)*(EXP(1.307+0.87*$B61+0.00803*$B61^2-0.0459*$B61^3+0.00596*$B61^4))*(1+$A61*LN($C$15/10))/1000</f>
        <v>189.60260185849128</v>
      </c>
      <c r="E61" s="41">
        <f t="shared" si="3"/>
        <v>158.00216821540943</v>
      </c>
      <c r="F61" s="41">
        <f t="shared" si="3"/>
        <v>126.40173457232754</v>
      </c>
      <c r="G61" s="41">
        <f t="shared" si="3"/>
        <v>94.801300929245642</v>
      </c>
      <c r="H61" s="41">
        <f t="shared" si="3"/>
        <v>63.200867286163771</v>
      </c>
      <c r="I61" s="41">
        <f t="shared" si="3"/>
        <v>31.600433643081885</v>
      </c>
      <c r="K61" s="4">
        <f>IF(N$15&gt;10,-0.11944-0.10581*L61-0.03853*L61^2+0.00818*L61^3,-0.08817-0.02934*L61-0.08313*L61^2+0.007425*L61^3)</f>
        <v>-0.92376853333447717</v>
      </c>
      <c r="L61" s="4">
        <f>LN(M61)</f>
        <v>3.5971417637878504</v>
      </c>
      <c r="M61" s="5">
        <v>36.493777397260274</v>
      </c>
      <c r="N61" s="38">
        <f t="shared" ref="N61:S68" si="4">(2.5*N$60)*(EXP(5.025+0.966*$B61-0.105*$B61^2))*(1+$K61*LN($N$15/10))</f>
        <v>4736.031144109118</v>
      </c>
      <c r="O61" s="38">
        <f t="shared" si="4"/>
        <v>3946.6926200909311</v>
      </c>
      <c r="P61" s="38">
        <f t="shared" si="4"/>
        <v>3157.3540960727451</v>
      </c>
      <c r="Q61" s="38">
        <f t="shared" si="4"/>
        <v>2368.015572054559</v>
      </c>
      <c r="R61" s="38">
        <f t="shared" si="4"/>
        <v>1578.6770480363725</v>
      </c>
      <c r="S61" s="38">
        <f t="shared" si="4"/>
        <v>789.33852401818626</v>
      </c>
    </row>
    <row r="62" spans="1:25" x14ac:dyDescent="0.25">
      <c r="A62" s="4">
        <f t="shared" ref="A62:A68" si="5">IF(C$15&gt;10,-0.11944-0.10581*B62-0.03853*B62^2+0.00818*B62^3,-0.08817-0.02934*B62-0.08313*B62^2+0.007425*B62^3)</f>
        <v>-0.81678371651450932</v>
      </c>
      <c r="B62" s="4">
        <f t="shared" ref="B62:B68" si="6">LN(C62)</f>
        <v>3.2801277438491092</v>
      </c>
      <c r="C62" s="5">
        <v>26.579167808219179</v>
      </c>
      <c r="D62" s="41">
        <f t="shared" si="3"/>
        <v>174.20067897296622</v>
      </c>
      <c r="E62" s="41">
        <f t="shared" si="3"/>
        <v>145.16723247747186</v>
      </c>
      <c r="F62" s="41">
        <f t="shared" si="3"/>
        <v>116.13378598197745</v>
      </c>
      <c r="G62" s="41">
        <f t="shared" si="3"/>
        <v>87.100339486483108</v>
      </c>
      <c r="H62" s="41">
        <f t="shared" si="3"/>
        <v>58.066892990988727</v>
      </c>
      <c r="I62" s="41">
        <f t="shared" si="3"/>
        <v>29.033446495494363</v>
      </c>
      <c r="K62" s="4">
        <f t="shared" ref="K62:K68" si="7">IF(N$15&gt;10,-0.11944-0.10581*L62-0.03853*L62^2+0.00818*L62^3,-0.08817-0.02934*L62-0.08313*L62^2+0.007425*L62^3)</f>
        <v>-0.81678371651450932</v>
      </c>
      <c r="L62" s="4">
        <f t="shared" ref="L62:L68" si="8">LN(M62)</f>
        <v>3.2801277438491092</v>
      </c>
      <c r="M62" s="5">
        <v>26.579167808219179</v>
      </c>
      <c r="N62" s="38">
        <f t="shared" si="4"/>
        <v>4383.6599035071004</v>
      </c>
      <c r="O62" s="38">
        <f t="shared" si="4"/>
        <v>3653.0499195892503</v>
      </c>
      <c r="P62" s="38">
        <f t="shared" si="4"/>
        <v>2922.4399356714002</v>
      </c>
      <c r="Q62" s="38">
        <f t="shared" si="4"/>
        <v>2191.8299517535502</v>
      </c>
      <c r="R62" s="38">
        <f t="shared" si="4"/>
        <v>1461.2199678357001</v>
      </c>
      <c r="S62" s="38">
        <f t="shared" si="4"/>
        <v>730.60998391785006</v>
      </c>
    </row>
    <row r="63" spans="1:25" x14ac:dyDescent="0.25">
      <c r="A63" s="4">
        <f t="shared" si="5"/>
        <v>-0.6583156848224192</v>
      </c>
      <c r="B63" s="4">
        <f t="shared" si="6"/>
        <v>2.7976516095710351</v>
      </c>
      <c r="C63" s="5">
        <v>16.406073630136987</v>
      </c>
      <c r="D63" s="41">
        <f t="shared" si="3"/>
        <v>149.44099789361195</v>
      </c>
      <c r="E63" s="41">
        <f t="shared" si="3"/>
        <v>124.53416491134331</v>
      </c>
      <c r="F63" s="41">
        <f t="shared" si="3"/>
        <v>99.627331929074643</v>
      </c>
      <c r="G63" s="41">
        <f t="shared" si="3"/>
        <v>74.720498946805975</v>
      </c>
      <c r="H63" s="41">
        <f t="shared" si="3"/>
        <v>49.813665964537321</v>
      </c>
      <c r="I63" s="41">
        <f t="shared" si="3"/>
        <v>24.906832982268661</v>
      </c>
      <c r="K63" s="4">
        <f t="shared" si="7"/>
        <v>-0.6583156848224192</v>
      </c>
      <c r="L63" s="4">
        <f t="shared" si="8"/>
        <v>2.7976516095710351</v>
      </c>
      <c r="M63" s="5">
        <v>16.406073630136987</v>
      </c>
      <c r="N63" s="38">
        <f t="shared" si="4"/>
        <v>3742.344513724498</v>
      </c>
      <c r="O63" s="38">
        <f t="shared" si="4"/>
        <v>3118.6204281037485</v>
      </c>
      <c r="P63" s="38">
        <f t="shared" si="4"/>
        <v>2494.8963424829985</v>
      </c>
      <c r="Q63" s="38">
        <f t="shared" si="4"/>
        <v>1871.172256862249</v>
      </c>
      <c r="R63" s="38">
        <f t="shared" si="4"/>
        <v>1247.4481712414993</v>
      </c>
      <c r="S63" s="38">
        <f t="shared" si="4"/>
        <v>623.72408562074963</v>
      </c>
    </row>
    <row r="64" spans="1:25" x14ac:dyDescent="0.25">
      <c r="A64" s="4">
        <f t="shared" si="5"/>
        <v>-0.44143239785772648</v>
      </c>
      <c r="B64" s="4">
        <f t="shared" si="6"/>
        <v>2.0778418038772664</v>
      </c>
      <c r="C64" s="5">
        <v>7.9872123287671233</v>
      </c>
      <c r="D64" s="41">
        <f t="shared" si="3"/>
        <v>109.04627515526342</v>
      </c>
      <c r="E64" s="41">
        <f t="shared" si="3"/>
        <v>90.87189596271952</v>
      </c>
      <c r="F64" s="41">
        <f t="shared" si="3"/>
        <v>72.697516770175611</v>
      </c>
      <c r="G64" s="41">
        <f t="shared" si="3"/>
        <v>54.523137577631708</v>
      </c>
      <c r="H64" s="41">
        <f t="shared" si="3"/>
        <v>36.348758385087805</v>
      </c>
      <c r="I64" s="41">
        <f t="shared" si="3"/>
        <v>18.174379192543903</v>
      </c>
      <c r="K64" s="4">
        <f t="shared" si="7"/>
        <v>-0.44143239785772648</v>
      </c>
      <c r="L64" s="4">
        <f t="shared" si="8"/>
        <v>2.0778418038772664</v>
      </c>
      <c r="M64" s="5">
        <v>7.9872123287671233</v>
      </c>
      <c r="N64" s="38">
        <f t="shared" si="4"/>
        <v>2698.9584910650551</v>
      </c>
      <c r="O64" s="38">
        <f t="shared" si="4"/>
        <v>2249.1320758875459</v>
      </c>
      <c r="P64" s="38">
        <f t="shared" si="4"/>
        <v>1799.3056607100368</v>
      </c>
      <c r="Q64" s="38">
        <f t="shared" si="4"/>
        <v>1349.4792455325276</v>
      </c>
      <c r="R64" s="38">
        <f t="shared" si="4"/>
        <v>899.65283035501841</v>
      </c>
      <c r="S64" s="38">
        <f t="shared" si="4"/>
        <v>449.8264151775092</v>
      </c>
    </row>
    <row r="65" spans="1:19" x14ac:dyDescent="0.25">
      <c r="A65" s="4">
        <f t="shared" si="5"/>
        <v>-0.32821869021370897</v>
      </c>
      <c r="B65" s="4">
        <f t="shared" si="6"/>
        <v>1.6445227962303277</v>
      </c>
      <c r="C65" s="5">
        <v>5.1785380993150687</v>
      </c>
      <c r="D65" s="41">
        <f t="shared" si="3"/>
        <v>84.940649414990204</v>
      </c>
      <c r="E65" s="41">
        <f t="shared" si="3"/>
        <v>70.783874512491835</v>
      </c>
      <c r="F65" s="41">
        <f t="shared" si="3"/>
        <v>56.627099609993472</v>
      </c>
      <c r="G65" s="41">
        <f t="shared" si="3"/>
        <v>42.470324707495102</v>
      </c>
      <c r="H65" s="41">
        <f t="shared" si="3"/>
        <v>28.313549804996736</v>
      </c>
      <c r="I65" s="41">
        <f t="shared" si="3"/>
        <v>14.156774902498368</v>
      </c>
      <c r="K65" s="4">
        <f t="shared" si="7"/>
        <v>-0.32821869021370897</v>
      </c>
      <c r="L65" s="4">
        <f t="shared" si="8"/>
        <v>1.6445227962303277</v>
      </c>
      <c r="M65" s="5">
        <v>5.1785380993150687</v>
      </c>
      <c r="N65" s="38">
        <f t="shared" si="4"/>
        <v>2103.5823730773463</v>
      </c>
      <c r="O65" s="38">
        <f t="shared" si="4"/>
        <v>1752.9853108977886</v>
      </c>
      <c r="P65" s="38">
        <f t="shared" si="4"/>
        <v>1402.3882487182309</v>
      </c>
      <c r="Q65" s="38">
        <f t="shared" si="4"/>
        <v>1051.7911865386732</v>
      </c>
      <c r="R65" s="38">
        <f t="shared" si="4"/>
        <v>701.19412435911545</v>
      </c>
      <c r="S65" s="38">
        <f t="shared" si="4"/>
        <v>350.59706217955772</v>
      </c>
    </row>
    <row r="66" spans="1:19" x14ac:dyDescent="0.25">
      <c r="A66" s="4">
        <f t="shared" si="5"/>
        <v>-0.25623174121685927</v>
      </c>
      <c r="B66" s="4">
        <f t="shared" si="6"/>
        <v>1.3274361376885495</v>
      </c>
      <c r="C66" s="5">
        <v>3.7713617294520549</v>
      </c>
      <c r="D66" s="41">
        <f t="shared" si="3"/>
        <v>68.731871651592655</v>
      </c>
      <c r="E66" s="41">
        <f t="shared" si="3"/>
        <v>57.276559709660539</v>
      </c>
      <c r="F66" s="41">
        <f t="shared" si="3"/>
        <v>45.82124776772843</v>
      </c>
      <c r="G66" s="41">
        <f t="shared" si="3"/>
        <v>34.365935825796328</v>
      </c>
      <c r="H66" s="41">
        <f t="shared" si="3"/>
        <v>22.910623883864215</v>
      </c>
      <c r="I66" s="41">
        <f t="shared" si="3"/>
        <v>11.455311941932107</v>
      </c>
      <c r="K66" s="4">
        <f t="shared" si="7"/>
        <v>-0.25623174121685927</v>
      </c>
      <c r="L66" s="4">
        <f t="shared" si="8"/>
        <v>1.3274361376885495</v>
      </c>
      <c r="M66" s="5">
        <v>3.7713617294520549</v>
      </c>
      <c r="N66" s="38">
        <f t="shared" si="4"/>
        <v>1709.6433244152429</v>
      </c>
      <c r="O66" s="38">
        <f t="shared" si="4"/>
        <v>1424.7027703460358</v>
      </c>
      <c r="P66" s="38">
        <f t="shared" si="4"/>
        <v>1139.7622162768287</v>
      </c>
      <c r="Q66" s="38">
        <f t="shared" si="4"/>
        <v>854.82166220762144</v>
      </c>
      <c r="R66" s="38">
        <f t="shared" si="4"/>
        <v>569.88110813841433</v>
      </c>
      <c r="S66" s="38">
        <f t="shared" si="4"/>
        <v>284.94055406920717</v>
      </c>
    </row>
    <row r="67" spans="1:19" x14ac:dyDescent="0.25">
      <c r="A67" s="4">
        <f t="shared" si="5"/>
        <v>-0.16991036245298405</v>
      </c>
      <c r="B67" s="4">
        <f t="shared" si="6"/>
        <v>0.8583802423872573</v>
      </c>
      <c r="C67" s="5">
        <v>2.359336044520548</v>
      </c>
      <c r="D67" s="41">
        <f t="shared" si="3"/>
        <v>48.277425414621419</v>
      </c>
      <c r="E67" s="41">
        <f t="shared" si="3"/>
        <v>40.231187845517852</v>
      </c>
      <c r="F67" s="41">
        <f t="shared" si="3"/>
        <v>32.184950276414284</v>
      </c>
      <c r="G67" s="41">
        <f t="shared" si="3"/>
        <v>24.13871270731071</v>
      </c>
      <c r="H67" s="41">
        <f t="shared" si="3"/>
        <v>16.092475138207142</v>
      </c>
      <c r="I67" s="41">
        <f t="shared" si="3"/>
        <v>8.046237569103571</v>
      </c>
      <c r="K67" s="4">
        <f t="shared" si="7"/>
        <v>-0.16991036245298405</v>
      </c>
      <c r="L67" s="4">
        <f t="shared" si="8"/>
        <v>0.8583802423872573</v>
      </c>
      <c r="M67" s="5">
        <v>2.359336044520548</v>
      </c>
      <c r="N67" s="38">
        <f t="shared" si="4"/>
        <v>1210.2538462458715</v>
      </c>
      <c r="O67" s="38">
        <f t="shared" si="4"/>
        <v>1008.5448718715597</v>
      </c>
      <c r="P67" s="38">
        <f t="shared" si="4"/>
        <v>806.83589749724774</v>
      </c>
      <c r="Q67" s="38">
        <f t="shared" si="4"/>
        <v>605.12692312293575</v>
      </c>
      <c r="R67" s="38">
        <f t="shared" si="4"/>
        <v>403.41794874862387</v>
      </c>
      <c r="S67" s="38">
        <f t="shared" si="4"/>
        <v>201.70897437431194</v>
      </c>
    </row>
    <row r="68" spans="1:19" x14ac:dyDescent="0.25">
      <c r="A68" s="4">
        <f t="shared" si="5"/>
        <v>-9.6942642624401734E-2</v>
      </c>
      <c r="B68" s="4">
        <f t="shared" si="6"/>
        <v>0.19410227609135702</v>
      </c>
      <c r="C68" s="5">
        <v>1.2142204623287671</v>
      </c>
      <c r="D68" s="41">
        <f t="shared" si="3"/>
        <v>27.629818659890887</v>
      </c>
      <c r="E68" s="41">
        <f t="shared" si="3"/>
        <v>23.024848883242406</v>
      </c>
      <c r="F68" s="41">
        <f t="shared" si="3"/>
        <v>18.419879106593921</v>
      </c>
      <c r="G68" s="41">
        <f t="shared" si="3"/>
        <v>13.814909329945444</v>
      </c>
      <c r="H68" s="41">
        <f t="shared" si="3"/>
        <v>9.2099395532969606</v>
      </c>
      <c r="I68" s="41">
        <f t="shared" si="3"/>
        <v>4.6049697766484803</v>
      </c>
      <c r="K68" s="4">
        <f t="shared" si="7"/>
        <v>-9.6942642624401734E-2</v>
      </c>
      <c r="L68" s="4">
        <f t="shared" si="8"/>
        <v>0.19410227609135702</v>
      </c>
      <c r="M68" s="5">
        <v>1.2142204623287671</v>
      </c>
      <c r="N68" s="38">
        <f t="shared" si="4"/>
        <v>685.60570666793296</v>
      </c>
      <c r="O68" s="38">
        <f t="shared" si="4"/>
        <v>571.33808888994406</v>
      </c>
      <c r="P68" s="38">
        <f t="shared" si="4"/>
        <v>457.07047111195527</v>
      </c>
      <c r="Q68" s="38">
        <f t="shared" si="4"/>
        <v>342.80285333396648</v>
      </c>
      <c r="R68" s="38">
        <f t="shared" si="4"/>
        <v>228.53523555597764</v>
      </c>
      <c r="S68" s="38">
        <f t="shared" si="4"/>
        <v>114.26761777798882</v>
      </c>
    </row>
    <row r="69" spans="1:19" x14ac:dyDescent="0.25">
      <c r="K69" s="1"/>
      <c r="L69" s="1"/>
      <c r="M69" s="1"/>
      <c r="N69" s="1"/>
      <c r="O69" s="1"/>
      <c r="P69" s="1"/>
    </row>
    <row r="70" spans="1:19" x14ac:dyDescent="0.25">
      <c r="C70" t="s">
        <v>59</v>
      </c>
      <c r="N70" t="s">
        <v>60</v>
      </c>
    </row>
    <row r="71" spans="1:19" x14ac:dyDescent="0.25">
      <c r="A71" s="2" t="s">
        <v>7</v>
      </c>
      <c r="B71" t="s">
        <v>12</v>
      </c>
      <c r="C71" t="s">
        <v>58</v>
      </c>
      <c r="D71" s="40">
        <v>60</v>
      </c>
      <c r="E71" s="40">
        <v>50</v>
      </c>
      <c r="F71" s="40">
        <v>40</v>
      </c>
      <c r="G71" s="40">
        <v>30</v>
      </c>
      <c r="H71" s="40">
        <v>20</v>
      </c>
      <c r="I71" s="40">
        <v>10</v>
      </c>
      <c r="K71" s="2" t="s">
        <v>7</v>
      </c>
      <c r="L71" t="s">
        <v>12</v>
      </c>
      <c r="M71" t="s">
        <v>58</v>
      </c>
      <c r="N71" s="5">
        <v>1.5</v>
      </c>
      <c r="O71" s="5">
        <v>1.25</v>
      </c>
      <c r="P71" s="5">
        <v>1</v>
      </c>
      <c r="Q71" s="5">
        <v>0.75</v>
      </c>
      <c r="R71" s="5">
        <v>0.5</v>
      </c>
      <c r="S71" s="5">
        <v>0.25</v>
      </c>
    </row>
    <row r="72" spans="1:19" x14ac:dyDescent="0.25">
      <c r="A72" s="4">
        <f>IF(C$15&gt;10,-0.11944-0.10581*B72-0.03853*B72^2+0.00818*B72^3,-0.08817-0.02934*B72-0.08313*B72^2+0.007425*B72^3)</f>
        <v>-0.92376853333447717</v>
      </c>
      <c r="B72" s="4">
        <f>LN(C72)</f>
        <v>3.5971417637878504</v>
      </c>
      <c r="C72" s="5">
        <v>36.493777397260274</v>
      </c>
      <c r="D72" s="41">
        <f t="shared" ref="D72:I79" si="9">(0.105263*D$71)*(EXP(2.297-0.031*$B72-0.106*$B72^2))*(1+$A72*LN($C$15/10))</f>
        <v>14.252900200455235</v>
      </c>
      <c r="E72" s="41">
        <f t="shared" si="9"/>
        <v>11.877416833712694</v>
      </c>
      <c r="F72" s="41">
        <f t="shared" si="9"/>
        <v>9.5019334669701561</v>
      </c>
      <c r="G72" s="41">
        <f t="shared" si="9"/>
        <v>7.1264501002276175</v>
      </c>
      <c r="H72" s="41">
        <f t="shared" si="9"/>
        <v>4.750966733485078</v>
      </c>
      <c r="I72" s="41">
        <f t="shared" si="9"/>
        <v>2.375483366742539</v>
      </c>
      <c r="K72" s="4">
        <f>IF(N$15&gt;10,-0.11944-0.10581*L72-0.03853*L72^2+0.00818*L72^3,-0.08817-0.02934*L72-0.08313*L72^2+0.007425*L72^3)</f>
        <v>-0.92376853333447717</v>
      </c>
      <c r="L72" s="4">
        <f>LN(M72)</f>
        <v>3.5971417637878504</v>
      </c>
      <c r="M72" s="40">
        <v>36.493777397260274</v>
      </c>
      <c r="N72" s="39">
        <f t="shared" ref="N72:S79" si="10">(2.5*N$71)*(EXP(-0.875-0.0337*$B72-0.105*$B72^2))*(1+$K72*LN($N$15/10))</f>
        <v>0.35589915217106444</v>
      </c>
      <c r="O72" s="39">
        <f t="shared" si="10"/>
        <v>0.29658262680922037</v>
      </c>
      <c r="P72" s="39">
        <f t="shared" si="10"/>
        <v>0.23726610144737631</v>
      </c>
      <c r="Q72" s="39">
        <f t="shared" si="10"/>
        <v>0.17794957608553222</v>
      </c>
      <c r="R72" s="39">
        <f t="shared" si="10"/>
        <v>0.11863305072368815</v>
      </c>
      <c r="S72" s="39">
        <f t="shared" si="10"/>
        <v>5.9316525361844077E-2</v>
      </c>
    </row>
    <row r="73" spans="1:19" x14ac:dyDescent="0.25">
      <c r="A73" s="4">
        <f t="shared" ref="A73:A79" si="11">IF(C$15&gt;10,-0.11944-0.10581*B73-0.03853*B73^2+0.00818*B73^3,-0.08817-0.02934*B73-0.08313*B73^2+0.007425*B73^3)</f>
        <v>-0.81678371651450932</v>
      </c>
      <c r="B73" s="4">
        <f t="shared" ref="B73:B79" si="12">LN(C73)</f>
        <v>3.2801277438491092</v>
      </c>
      <c r="C73" s="5">
        <v>26.579167808219179</v>
      </c>
      <c r="D73" s="41">
        <f t="shared" si="9"/>
        <v>18.135803418745368</v>
      </c>
      <c r="E73" s="41">
        <f t="shared" si="9"/>
        <v>15.113169515621138</v>
      </c>
      <c r="F73" s="41">
        <f t="shared" si="9"/>
        <v>12.090535612496911</v>
      </c>
      <c r="G73" s="41">
        <f t="shared" si="9"/>
        <v>9.0679017093726841</v>
      </c>
      <c r="H73" s="41">
        <f t="shared" si="9"/>
        <v>6.0452678062484555</v>
      </c>
      <c r="I73" s="41">
        <f t="shared" si="9"/>
        <v>3.0226339031242277</v>
      </c>
      <c r="K73" s="4">
        <f t="shared" ref="K73:K79" si="13">IF(N$15&gt;10,-0.11944-0.10581*L73-0.03853*L73^2+0.00818*L73^3,-0.08817-0.02934*L73-0.08313*L73^2+0.007425*L73^3)</f>
        <v>-0.81678371651450932</v>
      </c>
      <c r="L73" s="4">
        <f t="shared" ref="L73:L79" si="14">LN(M73)</f>
        <v>3.2801277438491092</v>
      </c>
      <c r="M73" s="40">
        <v>26.579167808219179</v>
      </c>
      <c r="N73" s="39">
        <f t="shared" si="10"/>
        <v>0.45225709949640741</v>
      </c>
      <c r="O73" s="39">
        <f t="shared" si="10"/>
        <v>0.3768809162470062</v>
      </c>
      <c r="P73" s="39">
        <f t="shared" si="10"/>
        <v>0.30150473299760494</v>
      </c>
      <c r="Q73" s="39">
        <f t="shared" si="10"/>
        <v>0.22612854974820371</v>
      </c>
      <c r="R73" s="39">
        <f t="shared" si="10"/>
        <v>0.15075236649880247</v>
      </c>
      <c r="S73" s="39">
        <f t="shared" si="10"/>
        <v>7.5376183249401235E-2</v>
      </c>
    </row>
    <row r="74" spans="1:19" x14ac:dyDescent="0.25">
      <c r="A74" s="4">
        <f t="shared" si="11"/>
        <v>-0.6583156848224192</v>
      </c>
      <c r="B74" s="4">
        <f t="shared" si="12"/>
        <v>2.7976516095710351</v>
      </c>
      <c r="C74" s="5">
        <v>16.406073630136987</v>
      </c>
      <c r="D74" s="41">
        <f t="shared" si="9"/>
        <v>25.120330131546172</v>
      </c>
      <c r="E74" s="41">
        <f t="shared" si="9"/>
        <v>20.933608442955141</v>
      </c>
      <c r="F74" s="41">
        <f t="shared" si="9"/>
        <v>16.746886754364112</v>
      </c>
      <c r="G74" s="41">
        <f t="shared" si="9"/>
        <v>12.560165065773086</v>
      </c>
      <c r="H74" s="41">
        <f t="shared" si="9"/>
        <v>8.3734433771820562</v>
      </c>
      <c r="I74" s="41">
        <f t="shared" si="9"/>
        <v>4.1867216885910281</v>
      </c>
      <c r="K74" s="4">
        <f t="shared" si="13"/>
        <v>-0.6583156848224192</v>
      </c>
      <c r="L74" s="4">
        <f t="shared" si="14"/>
        <v>2.7976516095710351</v>
      </c>
      <c r="M74" s="40">
        <v>16.406073630136987</v>
      </c>
      <c r="N74" s="39">
        <f t="shared" si="10"/>
        <v>0.6254119385008502</v>
      </c>
      <c r="O74" s="39">
        <f t="shared" si="10"/>
        <v>0.52117661541737514</v>
      </c>
      <c r="P74" s="39">
        <f t="shared" si="10"/>
        <v>0.41694129233390009</v>
      </c>
      <c r="Q74" s="39">
        <f t="shared" si="10"/>
        <v>0.3127059692504251</v>
      </c>
      <c r="R74" s="39">
        <f t="shared" si="10"/>
        <v>0.20847064616695005</v>
      </c>
      <c r="S74" s="39">
        <f t="shared" si="10"/>
        <v>0.10423532308347502</v>
      </c>
    </row>
    <row r="75" spans="1:19" x14ac:dyDescent="0.25">
      <c r="A75" s="4">
        <f t="shared" si="11"/>
        <v>-0.44143239785772648</v>
      </c>
      <c r="B75" s="4">
        <f t="shared" si="12"/>
        <v>2.0778418038772664</v>
      </c>
      <c r="C75" s="5">
        <v>7.9872123287671233</v>
      </c>
      <c r="D75" s="41">
        <f t="shared" si="9"/>
        <v>37.262630162777633</v>
      </c>
      <c r="E75" s="41">
        <f t="shared" si="9"/>
        <v>31.052191802314688</v>
      </c>
      <c r="F75" s="41">
        <f t="shared" si="9"/>
        <v>24.84175344185175</v>
      </c>
      <c r="G75" s="41">
        <f t="shared" si="9"/>
        <v>18.631315081388816</v>
      </c>
      <c r="H75" s="41">
        <f t="shared" si="9"/>
        <v>12.420876720925875</v>
      </c>
      <c r="I75" s="41">
        <f t="shared" si="9"/>
        <v>6.2104383604629376</v>
      </c>
      <c r="K75" s="4">
        <f t="shared" si="13"/>
        <v>-0.44143239785772648</v>
      </c>
      <c r="L75" s="4">
        <f t="shared" si="14"/>
        <v>2.0778418038772664</v>
      </c>
      <c r="M75" s="40">
        <v>7.9872123287671233</v>
      </c>
      <c r="N75" s="39">
        <f t="shared" si="10"/>
        <v>0.92626286066279973</v>
      </c>
      <c r="O75" s="39">
        <f t="shared" si="10"/>
        <v>0.77188571721899979</v>
      </c>
      <c r="P75" s="39">
        <f t="shared" si="10"/>
        <v>0.61750857377519974</v>
      </c>
      <c r="Q75" s="39">
        <f t="shared" si="10"/>
        <v>0.46313143033139986</v>
      </c>
      <c r="R75" s="39">
        <f t="shared" si="10"/>
        <v>0.30875428688759987</v>
      </c>
      <c r="S75" s="39">
        <f t="shared" si="10"/>
        <v>0.15437714344379994</v>
      </c>
    </row>
    <row r="76" spans="1:19" x14ac:dyDescent="0.25">
      <c r="A76" s="4">
        <f t="shared" si="11"/>
        <v>-0.32821869021370897</v>
      </c>
      <c r="B76" s="4">
        <f t="shared" si="12"/>
        <v>1.6445227962303277</v>
      </c>
      <c r="C76" s="5">
        <v>5.1785380993150687</v>
      </c>
      <c r="D76" s="41">
        <f t="shared" si="9"/>
        <v>44.808542535311581</v>
      </c>
      <c r="E76" s="41">
        <f t="shared" si="9"/>
        <v>37.34045211275965</v>
      </c>
      <c r="F76" s="41">
        <f t="shared" si="9"/>
        <v>29.872361690207718</v>
      </c>
      <c r="G76" s="41">
        <f t="shared" si="9"/>
        <v>22.40427126765579</v>
      </c>
      <c r="H76" s="41">
        <f t="shared" si="9"/>
        <v>14.936180845103859</v>
      </c>
      <c r="I76" s="41">
        <f t="shared" si="9"/>
        <v>7.4680904225519296</v>
      </c>
      <c r="K76" s="4">
        <f t="shared" si="13"/>
        <v>-0.32821869021370897</v>
      </c>
      <c r="L76" s="4">
        <f t="shared" si="14"/>
        <v>1.6445227962303277</v>
      </c>
      <c r="M76" s="40">
        <v>5.1785380993150687</v>
      </c>
      <c r="N76" s="39">
        <f t="shared" si="10"/>
        <v>1.1133434697897555</v>
      </c>
      <c r="O76" s="39">
        <f t="shared" si="10"/>
        <v>0.92778622482479634</v>
      </c>
      <c r="P76" s="39">
        <f t="shared" si="10"/>
        <v>0.74222897985983705</v>
      </c>
      <c r="Q76" s="39">
        <f t="shared" si="10"/>
        <v>0.55667173489487776</v>
      </c>
      <c r="R76" s="39">
        <f t="shared" si="10"/>
        <v>0.37111448992991852</v>
      </c>
      <c r="S76" s="39">
        <f t="shared" si="10"/>
        <v>0.18555724496495926</v>
      </c>
    </row>
    <row r="77" spans="1:19" x14ac:dyDescent="0.25">
      <c r="A77" s="4">
        <f t="shared" si="11"/>
        <v>-0.25623174121685927</v>
      </c>
      <c r="B77" s="4">
        <f t="shared" si="12"/>
        <v>1.3274361376885495</v>
      </c>
      <c r="C77" s="5">
        <v>3.7713617294520549</v>
      </c>
      <c r="D77" s="41">
        <f t="shared" si="9"/>
        <v>50.004827620843791</v>
      </c>
      <c r="E77" s="41">
        <f t="shared" si="9"/>
        <v>41.670689684036489</v>
      </c>
      <c r="F77" s="41">
        <f t="shared" si="9"/>
        <v>33.336551747229194</v>
      </c>
      <c r="G77" s="41">
        <f t="shared" si="9"/>
        <v>25.002413810421896</v>
      </c>
      <c r="H77" s="41">
        <f t="shared" si="9"/>
        <v>16.668275873614597</v>
      </c>
      <c r="I77" s="41">
        <f t="shared" si="9"/>
        <v>8.3341379368072985</v>
      </c>
      <c r="K77" s="4">
        <f t="shared" si="13"/>
        <v>-0.25623174121685927</v>
      </c>
      <c r="L77" s="4">
        <f t="shared" si="14"/>
        <v>1.3274361376885495</v>
      </c>
      <c r="M77" s="40">
        <v>3.7713617294520549</v>
      </c>
      <c r="N77" s="39">
        <f t="shared" si="10"/>
        <v>1.2423467591169137</v>
      </c>
      <c r="O77" s="39">
        <f t="shared" si="10"/>
        <v>1.0352889659307614</v>
      </c>
      <c r="P77" s="39">
        <f t="shared" si="10"/>
        <v>0.82823117274460911</v>
      </c>
      <c r="Q77" s="39">
        <f t="shared" si="10"/>
        <v>0.62117337955845686</v>
      </c>
      <c r="R77" s="39">
        <f t="shared" si="10"/>
        <v>0.41411558637230456</v>
      </c>
      <c r="S77" s="39">
        <f t="shared" si="10"/>
        <v>0.20705779318615228</v>
      </c>
    </row>
    <row r="78" spans="1:19" x14ac:dyDescent="0.25">
      <c r="A78" s="4">
        <f t="shared" si="11"/>
        <v>-0.16991036245298405</v>
      </c>
      <c r="B78" s="4">
        <f t="shared" si="12"/>
        <v>0.8583802423872573</v>
      </c>
      <c r="C78" s="5">
        <v>2.359336044520548</v>
      </c>
      <c r="D78" s="41">
        <f t="shared" si="9"/>
        <v>56.562086571782089</v>
      </c>
      <c r="E78" s="41">
        <f t="shared" si="9"/>
        <v>47.135072143151739</v>
      </c>
      <c r="F78" s="41">
        <f t="shared" si="9"/>
        <v>37.708057714521388</v>
      </c>
      <c r="G78" s="41">
        <f t="shared" si="9"/>
        <v>28.281043285891045</v>
      </c>
      <c r="H78" s="41">
        <f t="shared" si="9"/>
        <v>18.854028857260694</v>
      </c>
      <c r="I78" s="41">
        <f t="shared" si="9"/>
        <v>9.427014428630347</v>
      </c>
      <c r="K78" s="4">
        <f t="shared" si="13"/>
        <v>-0.16991036245298405</v>
      </c>
      <c r="L78" s="4">
        <f t="shared" si="14"/>
        <v>0.8583802423872573</v>
      </c>
      <c r="M78" s="40">
        <v>2.359336044520548</v>
      </c>
      <c r="N78" s="39">
        <f t="shared" si="10"/>
        <v>1.4055977800933035</v>
      </c>
      <c r="O78" s="39">
        <f t="shared" si="10"/>
        <v>1.1713314834110862</v>
      </c>
      <c r="P78" s="39">
        <f t="shared" si="10"/>
        <v>0.93706518672886907</v>
      </c>
      <c r="Q78" s="39">
        <f t="shared" si="10"/>
        <v>0.70279889004665175</v>
      </c>
      <c r="R78" s="39">
        <f t="shared" si="10"/>
        <v>0.46853259336443454</v>
      </c>
      <c r="S78" s="39">
        <f t="shared" si="10"/>
        <v>0.23426629668221727</v>
      </c>
    </row>
    <row r="79" spans="1:19" x14ac:dyDescent="0.25">
      <c r="A79" s="4">
        <f t="shared" si="11"/>
        <v>-9.6942642624401734E-2</v>
      </c>
      <c r="B79" s="4">
        <f t="shared" si="12"/>
        <v>0.19410227609135702</v>
      </c>
      <c r="C79" s="5">
        <v>1.2142204623287671</v>
      </c>
      <c r="D79" s="41">
        <f t="shared" si="9"/>
        <v>62.180439297354233</v>
      </c>
      <c r="E79" s="41">
        <f t="shared" si="9"/>
        <v>51.817032747795189</v>
      </c>
      <c r="F79" s="41">
        <f t="shared" si="9"/>
        <v>41.453626198236151</v>
      </c>
      <c r="G79" s="41">
        <f t="shared" si="9"/>
        <v>31.090219648677117</v>
      </c>
      <c r="H79" s="41">
        <f t="shared" si="9"/>
        <v>20.726813099118075</v>
      </c>
      <c r="I79" s="41">
        <f t="shared" si="9"/>
        <v>10.363406549559038</v>
      </c>
      <c r="K79" s="4">
        <f t="shared" si="13"/>
        <v>-9.6942642624401734E-2</v>
      </c>
      <c r="L79" s="4">
        <f t="shared" si="14"/>
        <v>0.19410227609135702</v>
      </c>
      <c r="M79" s="40">
        <v>1.2142204623287671</v>
      </c>
      <c r="N79" s="39">
        <f t="shared" si="10"/>
        <v>1.5469088439484333</v>
      </c>
      <c r="O79" s="39">
        <f t="shared" si="10"/>
        <v>1.2890907032903611</v>
      </c>
      <c r="P79" s="39">
        <f t="shared" si="10"/>
        <v>1.0312725626322887</v>
      </c>
      <c r="Q79" s="39">
        <f t="shared" si="10"/>
        <v>0.77345442197421665</v>
      </c>
      <c r="R79" s="39">
        <f t="shared" si="10"/>
        <v>0.51563628131614436</v>
      </c>
      <c r="S79" s="39">
        <f t="shared" si="10"/>
        <v>0.25781814065807218</v>
      </c>
    </row>
    <row r="81" spans="1:10" x14ac:dyDescent="0.25">
      <c r="A81" t="s">
        <v>7</v>
      </c>
      <c r="D81" t="s">
        <v>80</v>
      </c>
    </row>
    <row r="82" spans="1:10" x14ac:dyDescent="0.25">
      <c r="A82" s="2" t="s">
        <v>81</v>
      </c>
      <c r="B82" t="s">
        <v>82</v>
      </c>
      <c r="C82" t="s">
        <v>12</v>
      </c>
      <c r="D82" t="s">
        <v>0</v>
      </c>
      <c r="E82">
        <v>6</v>
      </c>
      <c r="F82">
        <v>8</v>
      </c>
      <c r="G82">
        <v>10</v>
      </c>
      <c r="H82">
        <v>12</v>
      </c>
      <c r="I82">
        <v>16</v>
      </c>
      <c r="J82">
        <v>20</v>
      </c>
    </row>
    <row r="83" spans="1:10" x14ac:dyDescent="0.25">
      <c r="A83" s="4">
        <f>-0.08817-0.02934*C83-0.08313*C83^2+0.007425*C83^3</f>
        <v>-0.92376853333447717</v>
      </c>
      <c r="B83">
        <f>-0.11944-0.10581*C84-0.03853*C84^2+0.00818*C84^3</f>
        <v>-0.59237785485971384</v>
      </c>
      <c r="C83" s="4">
        <f>LN(D83)</f>
        <v>3.5971417637878504</v>
      </c>
      <c r="D83" s="5">
        <v>36.493777397260274</v>
      </c>
      <c r="E83">
        <f>(1.336+1.474*$C83+0.173*$C83^2)*(1+$A83*LN(E$82/10))</f>
        <v>13.065490361459112</v>
      </c>
      <c r="F83">
        <f>(1.336+1.474*$C83+0.173*$C83^2)*(1+$A83*LN(F$82/10))</f>
        <v>10.706490557237251</v>
      </c>
      <c r="G83">
        <f t="shared" ref="G83:G90" si="15">1.336+1.474*$C83+0.173*$C83^2</f>
        <v>8.8767081541234027</v>
      </c>
      <c r="H83">
        <f>(1.336+1.474*$C83+0.173*$C83^2)*(1+$B83*LN(H$82/10))</f>
        <v>7.9179948001359071</v>
      </c>
      <c r="I83">
        <f t="shared" ref="I83:J83" si="16">(1.336+1.474*$C83+0.173*$C83^2)*(1+$B83*LN(I$82/10))</f>
        <v>6.4052573629824208</v>
      </c>
      <c r="J83">
        <f t="shared" si="16"/>
        <v>5.2318870481222071</v>
      </c>
    </row>
    <row r="84" spans="1:10" x14ac:dyDescent="0.25">
      <c r="A84" s="4">
        <f t="shared" ref="A84:A90" si="17">-0.08817-0.02934*C84-0.08313*C84^2+0.007425*C84^3</f>
        <v>-0.81678371651450932</v>
      </c>
      <c r="B84">
        <f t="shared" ref="B84:B90" si="18">-0.11944-0.10581*C85-0.03853*C85^2+0.00818*C85^3</f>
        <v>-0.53791229824556264</v>
      </c>
      <c r="C84" s="4">
        <f t="shared" ref="C84:C90" si="19">LN(D84)</f>
        <v>3.2801277438491092</v>
      </c>
      <c r="D84" s="5">
        <v>26.579167808219179</v>
      </c>
      <c r="E84">
        <f t="shared" ref="E84:F90" si="20">(1.336+1.474*$C84+0.173*$C84^2)*(1+$A84*LN(E$82/10))</f>
        <v>11.383587381122906</v>
      </c>
      <c r="F84">
        <f t="shared" si="20"/>
        <v>9.496215689523698</v>
      </c>
      <c r="G84">
        <f t="shared" si="15"/>
        <v>8.0322564711961633</v>
      </c>
      <c r="H84">
        <f t="shared" ref="H84:J90" si="21">(1.336+1.474*$C84+0.173*$C84^2)*(1+$B84*LN(H$82/10))</f>
        <v>7.2445089209723115</v>
      </c>
      <c r="I84">
        <f t="shared" si="21"/>
        <v>6.0015355073933581</v>
      </c>
      <c r="J84">
        <f t="shared" si="21"/>
        <v>5.0374104253841443</v>
      </c>
    </row>
    <row r="85" spans="1:10" x14ac:dyDescent="0.25">
      <c r="A85" s="4">
        <f t="shared" si="17"/>
        <v>-0.6583156848224192</v>
      </c>
      <c r="B85">
        <f t="shared" si="18"/>
        <v>-0.43226468424404563</v>
      </c>
      <c r="C85" s="4">
        <f t="shared" si="19"/>
        <v>2.7976516095710351</v>
      </c>
      <c r="D85" s="5">
        <v>16.406073630136987</v>
      </c>
      <c r="E85">
        <f t="shared" si="20"/>
        <v>9.1051544929305255</v>
      </c>
      <c r="F85">
        <f t="shared" si="20"/>
        <v>7.8147217239424389</v>
      </c>
      <c r="G85">
        <f t="shared" si="15"/>
        <v>6.8137843059443304</v>
      </c>
      <c r="H85">
        <f t="shared" si="21"/>
        <v>6.2767819914494929</v>
      </c>
      <c r="I85">
        <f t="shared" si="21"/>
        <v>5.4294552054026539</v>
      </c>
      <c r="J85">
        <f t="shared" si="21"/>
        <v>4.7722174896467005</v>
      </c>
    </row>
    <row r="86" spans="1:10" x14ac:dyDescent="0.25">
      <c r="A86" s="4">
        <f t="shared" si="17"/>
        <v>-0.44143239785772648</v>
      </c>
      <c r="B86">
        <f t="shared" si="18"/>
        <v>-0.36126875390701679</v>
      </c>
      <c r="C86" s="4">
        <f t="shared" si="19"/>
        <v>2.0778418038772664</v>
      </c>
      <c r="D86" s="5">
        <v>7.9872123287671233</v>
      </c>
      <c r="E86">
        <f t="shared" si="20"/>
        <v>6.305972672864967</v>
      </c>
      <c r="F86">
        <f t="shared" si="20"/>
        <v>5.6525148665375191</v>
      </c>
      <c r="G86">
        <f t="shared" si="15"/>
        <v>5.1456536141306985</v>
      </c>
      <c r="H86">
        <f t="shared" si="21"/>
        <v>4.8067244274718641</v>
      </c>
      <c r="I86">
        <f t="shared" si="21"/>
        <v>4.2719338489633598</v>
      </c>
      <c r="J86">
        <f t="shared" si="21"/>
        <v>3.8571180494221147</v>
      </c>
    </row>
    <row r="87" spans="1:10" x14ac:dyDescent="0.25">
      <c r="A87" s="4">
        <f t="shared" si="17"/>
        <v>-0.32821869021370897</v>
      </c>
      <c r="B87">
        <f t="shared" si="18"/>
        <v>-0.30865572740194441</v>
      </c>
      <c r="C87" s="4">
        <f t="shared" si="19"/>
        <v>1.6445227962303277</v>
      </c>
      <c r="D87" s="5">
        <v>5.1785380993150687</v>
      </c>
      <c r="E87">
        <f t="shared" si="20"/>
        <v>4.9367572689664385</v>
      </c>
      <c r="F87">
        <f t="shared" si="20"/>
        <v>4.5375480684855285</v>
      </c>
      <c r="G87">
        <f t="shared" si="15"/>
        <v>4.2278973559700734</v>
      </c>
      <c r="H87">
        <f t="shared" si="21"/>
        <v>3.9899741541446914</v>
      </c>
      <c r="I87">
        <f t="shared" si="21"/>
        <v>3.6145591950521587</v>
      </c>
      <c r="J87">
        <f t="shared" si="21"/>
        <v>3.3233647300149691</v>
      </c>
    </row>
    <row r="88" spans="1:10" x14ac:dyDescent="0.25">
      <c r="A88" s="4">
        <f t="shared" si="17"/>
        <v>-0.25623174121685927</v>
      </c>
      <c r="B88">
        <f t="shared" si="18"/>
        <v>-0.23348116344201331</v>
      </c>
      <c r="C88" s="4">
        <f t="shared" si="19"/>
        <v>1.3274361376885495</v>
      </c>
      <c r="D88" s="5">
        <v>3.7713617294520549</v>
      </c>
      <c r="E88">
        <f t="shared" si="20"/>
        <v>4.0683553286162857</v>
      </c>
      <c r="F88">
        <f t="shared" si="20"/>
        <v>3.8031731465010985</v>
      </c>
      <c r="G88">
        <f t="shared" si="15"/>
        <v>3.5974818659909009</v>
      </c>
      <c r="H88">
        <f t="shared" si="21"/>
        <v>3.4443419224312533</v>
      </c>
      <c r="I88">
        <f t="shared" si="21"/>
        <v>3.2027050194062507</v>
      </c>
      <c r="J88">
        <f t="shared" si="21"/>
        <v>3.0152768762131985</v>
      </c>
    </row>
    <row r="89" spans="1:10" x14ac:dyDescent="0.25">
      <c r="A89" s="4">
        <f t="shared" si="17"/>
        <v>-0.16991036245298405</v>
      </c>
      <c r="B89">
        <f t="shared" si="18"/>
        <v>-0.14136978647517048</v>
      </c>
      <c r="C89" s="4">
        <f t="shared" si="19"/>
        <v>0.8583802423872573</v>
      </c>
      <c r="D89" s="5">
        <v>2.359336044520548</v>
      </c>
      <c r="E89">
        <f t="shared" si="20"/>
        <v>2.9655599790565597</v>
      </c>
      <c r="F89">
        <f t="shared" si="20"/>
        <v>2.8321796088299855</v>
      </c>
      <c r="G89">
        <f t="shared" si="15"/>
        <v>2.7287217560889165</v>
      </c>
      <c r="H89">
        <f t="shared" si="21"/>
        <v>2.6583896089365506</v>
      </c>
      <c r="I89">
        <f t="shared" si="21"/>
        <v>2.5474137144314253</v>
      </c>
      <c r="J89">
        <f t="shared" si="21"/>
        <v>2.4613341231691108</v>
      </c>
    </row>
    <row r="90" spans="1:10" x14ac:dyDescent="0.25">
      <c r="A90" s="4">
        <f t="shared" si="17"/>
        <v>-9.6942642624401734E-2</v>
      </c>
      <c r="B90">
        <f t="shared" si="18"/>
        <v>-0.11944</v>
      </c>
      <c r="C90" s="4">
        <f t="shared" si="19"/>
        <v>0.19410227609135702</v>
      </c>
      <c r="D90" s="5">
        <v>1.2142204623287671</v>
      </c>
      <c r="E90">
        <f t="shared" si="20"/>
        <v>1.7092754225309099</v>
      </c>
      <c r="F90">
        <f t="shared" si="20"/>
        <v>1.6638552628485404</v>
      </c>
      <c r="G90">
        <f t="shared" si="15"/>
        <v>1.6286246499486656</v>
      </c>
      <c r="H90">
        <f t="shared" si="21"/>
        <v>1.5931589268489701</v>
      </c>
      <c r="I90">
        <f t="shared" si="21"/>
        <v>1.5371981677279198</v>
      </c>
      <c r="J90">
        <f t="shared" si="21"/>
        <v>1.4937916307195935</v>
      </c>
    </row>
  </sheetData>
  <sheetProtection algorithmName="SHA-512" hashValue="JE4MOTwuIBQJji2/QSyH87OLzKtO8kjFzT7Uj5LPZEZ53o1NdDdiwQSuGwFxG0b3fGg7Zb5ZB+rmjukCiX/hmA==" saltValue="a9HYbd8Zq6jUohv/CNRs+g==" spinCount="100000" sheet="1" objects="1" scenarios="1"/>
  <mergeCells count="3">
    <mergeCell ref="Z8:AB8"/>
    <mergeCell ref="AC8:AE8"/>
    <mergeCell ref="AF8:AG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Multiples</vt:lpstr>
    </vt:vector>
  </TitlesOfParts>
  <Company>Citigroup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Hogan, Barbara [ICG-CIB]</dc:creator>
  <cp:lastModifiedBy>Gajdica, Ronald</cp:lastModifiedBy>
  <cp:lastPrinted>2014-12-03T23:28:39Z</cp:lastPrinted>
  <dcterms:created xsi:type="dcterms:W3CDTF">2014-12-03T00:05:22Z</dcterms:created>
  <dcterms:modified xsi:type="dcterms:W3CDTF">2020-01-31T16:03:11Z</dcterms:modified>
</cp:coreProperties>
</file>